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I:\Kunder\Lapinus\1212529 - Rockflow modelling in MIKE URBAN\09-Dokumentation\09a-Rapporter, notater mv\Manual\Aflevering til Anders_20230119\"/>
    </mc:Choice>
  </mc:AlternateContent>
  <xr:revisionPtr revIDLastSave="0" documentId="13_ncr:1_{24839E22-9DE2-4377-AA46-2D96B37ED25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ischar to sewer, inlet in top " sheetId="3" r:id="rId1"/>
    <sheet name="Dischar to sewer, inlet in bot" sheetId="5" r:id="rId2"/>
    <sheet name="Infiltration" sheetId="1" r:id="rId3"/>
    <sheet name="parameters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9" i="5" l="1"/>
  <c r="B46" i="5"/>
  <c r="B47" i="5"/>
  <c r="B48" i="5"/>
  <c r="B49" i="5"/>
  <c r="B45" i="5"/>
  <c r="A51" i="5" l="1"/>
  <c r="B51" i="5" s="1"/>
  <c r="A50" i="5"/>
  <c r="B50" i="5" s="1"/>
  <c r="A52" i="5"/>
  <c r="B52" i="5" s="1"/>
  <c r="A39" i="5"/>
  <c r="B39" i="5" s="1"/>
  <c r="A38" i="5"/>
  <c r="B32" i="5"/>
  <c r="A40" i="5" l="1"/>
  <c r="B40" i="5" s="1"/>
  <c r="A33" i="5"/>
  <c r="B33" i="5" s="1"/>
  <c r="B25" i="5"/>
  <c r="C19" i="5"/>
  <c r="A19" i="5"/>
  <c r="C18" i="5"/>
  <c r="A18" i="5"/>
  <c r="B53" i="3"/>
  <c r="B52" i="3"/>
  <c r="A30" i="3" l="1"/>
  <c r="B30" i="3" s="1"/>
  <c r="A46" i="3" l="1"/>
  <c r="B46" i="3" s="1"/>
  <c r="A45" i="3"/>
  <c r="B45" i="3" s="1"/>
  <c r="A44" i="3"/>
  <c r="B44" i="3" s="1"/>
  <c r="A43" i="3"/>
  <c r="B43" i="3" s="1"/>
  <c r="A42" i="3"/>
  <c r="B42" i="3" s="1"/>
  <c r="A41" i="3"/>
  <c r="B41" i="3" s="1"/>
  <c r="A40" i="3"/>
  <c r="B40" i="3" s="1"/>
  <c r="A39" i="3"/>
  <c r="B39" i="3" s="1"/>
  <c r="A38" i="3"/>
  <c r="B38" i="3" s="1"/>
  <c r="A37" i="3"/>
  <c r="B37" i="3" s="1"/>
  <c r="A36" i="3"/>
  <c r="B23" i="3"/>
  <c r="C17" i="3"/>
  <c r="B17" i="3"/>
  <c r="A17" i="3"/>
  <c r="C16" i="3"/>
  <c r="A16" i="3"/>
  <c r="A47" i="3" l="1"/>
  <c r="B47" i="3" s="1"/>
  <c r="A31" i="3" l="1"/>
  <c r="B31" i="3" s="1"/>
  <c r="B23" i="1"/>
  <c r="G20" i="1"/>
  <c r="H20" i="1" s="1"/>
  <c r="G21" i="1" l="1"/>
  <c r="G22" i="1" l="1"/>
  <c r="H21" i="1"/>
  <c r="G23" i="1" l="1"/>
  <c r="H22" i="1"/>
  <c r="G24" i="1" l="1"/>
  <c r="H23" i="1"/>
  <c r="G25" i="1" l="1"/>
  <c r="H24" i="1"/>
  <c r="G26" i="1" l="1"/>
  <c r="H25" i="1"/>
  <c r="G27" i="1" l="1"/>
  <c r="H26" i="1"/>
  <c r="G28" i="1" l="1"/>
  <c r="H27" i="1"/>
  <c r="G29" i="1" l="1"/>
  <c r="H28" i="1"/>
  <c r="G30" i="1" l="1"/>
  <c r="H30" i="1" s="1"/>
  <c r="H29" i="1"/>
  <c r="C17" i="1" l="1"/>
  <c r="C16" i="1"/>
  <c r="B17" i="1"/>
  <c r="B25" i="1"/>
  <c r="B24" i="1"/>
  <c r="A17" i="1"/>
  <c r="A16" i="1"/>
</calcChain>
</file>

<file path=xl/sharedStrings.xml><?xml version="1.0" encoding="utf-8"?>
<sst xmlns="http://schemas.openxmlformats.org/spreadsheetml/2006/main" count="111" uniqueCount="59">
  <si>
    <t>.H [m]</t>
  </si>
  <si>
    <t>Type: regulation Qmax (H)</t>
  </si>
  <si>
    <t>Type: bassin geometry</t>
  </si>
  <si>
    <t>.Qmax [m^3/s]</t>
  </si>
  <si>
    <t>.Ac [m^2]</t>
  </si>
  <si>
    <t>.As [m^2]</t>
  </si>
  <si>
    <t>Input</t>
  </si>
  <si>
    <t>Input for the Rockflow magazine</t>
  </si>
  <si>
    <t>Infiltration</t>
  </si>
  <si>
    <t>Construction condition</t>
  </si>
  <si>
    <t xml:space="preserve"> - The hydraulic condutivity of the soil [m/s]</t>
  </si>
  <si>
    <t>Soil</t>
  </si>
  <si>
    <t>Input for Soakaway</t>
  </si>
  <si>
    <t xml:space="preserve"> - Rockflow magazine, lenght [m]</t>
  </si>
  <si>
    <t xml:space="preserve"> - Rockflow magazine, width [m]</t>
  </si>
  <si>
    <t xml:space="preserve"> - Bottom elevation of the magazine [m]</t>
  </si>
  <si>
    <t xml:space="preserve"> - Top elevation of the magazine [m]</t>
  </si>
  <si>
    <r>
      <t xml:space="preserve">R </t>
    </r>
    <r>
      <rPr>
        <b/>
        <sz val="12"/>
        <color theme="1"/>
        <rFont val="Calibri"/>
        <family val="2"/>
        <scheme val="minor"/>
      </rPr>
      <t>Use kfs, bottom</t>
    </r>
  </si>
  <si>
    <t>Kfs, side</t>
  </si>
  <si>
    <t>Initial water level</t>
  </si>
  <si>
    <t>Porosity of fill material</t>
  </si>
  <si>
    <t>Height [m]</t>
  </si>
  <si>
    <t>Q [m3/s]</t>
  </si>
  <si>
    <t>Infiltration method</t>
  </si>
  <si>
    <t>Inftiltration rate</t>
  </si>
  <si>
    <t>No infiltration</t>
  </si>
  <si>
    <r>
      <t xml:space="preserve">R </t>
    </r>
    <r>
      <rPr>
        <b/>
        <sz val="12"/>
        <color theme="2" tint="-0.249977111117893"/>
        <rFont val="Calibri"/>
        <family val="2"/>
        <scheme val="minor"/>
      </rPr>
      <t>Use kfs, bottom</t>
    </r>
  </si>
  <si>
    <t xml:space="preserve"> - Rockflow magazine, length [m]</t>
  </si>
  <si>
    <t xml:space="preserve">MIKE+ setup </t>
  </si>
  <si>
    <t>MIKE+ setup</t>
  </si>
  <si>
    <t xml:space="preserve"> - Total lenght of inlet channels [m]</t>
  </si>
  <si>
    <t xml:space="preserve"> - Inlet channel, diameter [m]</t>
  </si>
  <si>
    <t>Qmax [m^3/s]</t>
  </si>
  <si>
    <t>Type: Regulation Qmax(dH)</t>
  </si>
  <si>
    <t>dH [m]</t>
  </si>
  <si>
    <t>Emptying with H.-regulation based on control node B</t>
  </si>
  <si>
    <t>Flow through full buffer with dH.-regulation based on control node B and C</t>
  </si>
  <si>
    <t>Filling with H.-regulation based on control node A</t>
  </si>
  <si>
    <t>m/d</t>
  </si>
  <si>
    <t xml:space="preserve">m </t>
  </si>
  <si>
    <t xml:space="preserve"> - Downstream level in inlet pipe (elevation of inletpipes)</t>
  </si>
  <si>
    <t xml:space="preserve"> -</t>
  </si>
  <si>
    <t>K1 (reduced hydraulic conductivity around channels)</t>
  </si>
  <si>
    <t>K2 (hydraulic conductivity of the buffer)</t>
  </si>
  <si>
    <t>HK1 (distance with reduced hydraulic conductivity around channels)</t>
  </si>
  <si>
    <t>m (calibration factor, to describe unsaturated flow)</t>
  </si>
  <si>
    <t>Discharge to sewer, with inlet in top of buffer</t>
  </si>
  <si>
    <t>Discharge to sewer, with inlet in bottom of buffer</t>
  </si>
  <si>
    <t>Filling with dH.-regulation based on control node A and B</t>
  </si>
  <si>
    <t>Flow in open channels with dH.-regulation based on control node B and C</t>
  </si>
  <si>
    <t>distance from bottom to center of inlet channels (inlet in bottom)</t>
  </si>
  <si>
    <t>m</t>
  </si>
  <si>
    <t xml:space="preserve"> - lenght of one channel [m]</t>
  </si>
  <si>
    <t xml:space="preserve"> - Number of open channels in the bottom [-]</t>
  </si>
  <si>
    <t xml:space="preserve"> - Number of closed channels in the bottom [-]</t>
  </si>
  <si>
    <t>Type: regulation Qmax (dH)</t>
  </si>
  <si>
    <t>M</t>
  </si>
  <si>
    <t>m^(1/3)/s</t>
  </si>
  <si>
    <t xml:space="preserve"> - Downstream level in inlet pipe (elevation of inletpipes) [m]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</si>
</sst>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0"/>
    <numFmt numFmtId="165" formatCode="0.000"/>
    <numFmt numFmtId="166" formatCode="0.0"/>
    <numFmt numFmtId="167" formatCode="0.00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3F3F3F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0" tint="-0.34998626667073579"/>
      <name val="Calibri"/>
      <family val="2"/>
      <scheme val="minor"/>
    </font>
    <font>
      <b/>
      <sz val="12"/>
      <color theme="1"/>
      <name val="Wingdings 2"/>
      <family val="1"/>
      <charset val="2"/>
    </font>
    <font>
      <sz val="8"/>
      <name val="Calibri"/>
      <family val="2"/>
      <scheme val="minor"/>
    </font>
    <font>
      <b/>
      <sz val="12"/>
      <color theme="2" tint="-0.249977111117893"/>
      <name val="Wingdings 2"/>
      <family val="1"/>
      <charset val="2"/>
    </font>
    <font>
      <b/>
      <sz val="12"/>
      <color theme="2" tint="-0.249977111117893"/>
      <name val="Calibri"/>
      <family val="2"/>
      <scheme val="minor"/>
    </font>
    <font>
      <b/>
      <sz val="12"/>
      <color theme="2" tint="-0.499984740745262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4" fillId="4" borderId="9" applyNumberFormat="0" applyAlignment="0" applyProtection="0"/>
    <xf numFmtId="0" fontId="1" fillId="5" borderId="10" applyNumberFormat="0" applyFont="0" applyAlignment="0" applyProtection="0"/>
    <xf numFmtId="0" fontId="16" fillId="0" borderId="0" applyNumberFormat="0" applyFill="0" applyBorder="0" applyAlignment="0" applyProtection="0"/>
  </cellStyleXfs>
  <cellXfs count="63">
    <xf numFmtId="0" fontId="0" fillId="0" borderId="0" xfId="0"/>
    <xf numFmtId="0" fontId="5" fillId="5" borderId="10" xfId="3" applyFont="1"/>
    <xf numFmtId="0" fontId="6" fillId="5" borderId="10" xfId="3" applyFont="1"/>
    <xf numFmtId="0" fontId="0" fillId="6" borderId="2" xfId="0" applyFill="1" applyBorder="1"/>
    <xf numFmtId="0" fontId="0" fillId="6" borderId="3" xfId="0" applyFill="1" applyBorder="1"/>
    <xf numFmtId="0" fontId="0" fillId="6" borderId="4" xfId="0" applyFill="1" applyBorder="1"/>
    <xf numFmtId="0" fontId="5" fillId="6" borderId="0" xfId="0" applyFont="1" applyFill="1" applyBorder="1"/>
    <xf numFmtId="0" fontId="0" fillId="6" borderId="0" xfId="0" applyFill="1" applyBorder="1"/>
    <xf numFmtId="0" fontId="0" fillId="6" borderId="5" xfId="0" applyFill="1" applyBorder="1"/>
    <xf numFmtId="0" fontId="5" fillId="6" borderId="5" xfId="0" applyFont="1" applyFill="1" applyBorder="1"/>
    <xf numFmtId="0" fontId="5" fillId="6" borderId="6" xfId="0" applyFont="1" applyFill="1" applyBorder="1"/>
    <xf numFmtId="0" fontId="5" fillId="6" borderId="7" xfId="0" applyFont="1" applyFill="1" applyBorder="1"/>
    <xf numFmtId="0" fontId="5" fillId="6" borderId="8" xfId="0" applyFont="1" applyFill="1" applyBorder="1"/>
    <xf numFmtId="0" fontId="0" fillId="7" borderId="2" xfId="0" applyFill="1" applyBorder="1"/>
    <xf numFmtId="0" fontId="0" fillId="7" borderId="3" xfId="0" applyFill="1" applyBorder="1"/>
    <xf numFmtId="0" fontId="0" fillId="7" borderId="0" xfId="0" applyFill="1" applyBorder="1"/>
    <xf numFmtId="0" fontId="0" fillId="7" borderId="5" xfId="0" applyFill="1" applyBorder="1"/>
    <xf numFmtId="0" fontId="0" fillId="7" borderId="7" xfId="0" applyFill="1" applyBorder="1"/>
    <xf numFmtId="0" fontId="0" fillId="7" borderId="8" xfId="0" applyFill="1" applyBorder="1"/>
    <xf numFmtId="0" fontId="7" fillId="4" borderId="9" xfId="2" applyFont="1"/>
    <xf numFmtId="2" fontId="7" fillId="4" borderId="9" xfId="2" applyNumberFormat="1" applyFont="1"/>
    <xf numFmtId="0" fontId="0" fillId="6" borderId="0" xfId="0" applyFill="1"/>
    <xf numFmtId="0" fontId="2" fillId="6" borderId="0" xfId="0" applyFont="1" applyFill="1" applyBorder="1"/>
    <xf numFmtId="0" fontId="0" fillId="6" borderId="6" xfId="0" applyFill="1" applyBorder="1"/>
    <xf numFmtId="0" fontId="0" fillId="6" borderId="7" xfId="0" applyFill="1" applyBorder="1"/>
    <xf numFmtId="0" fontId="5" fillId="7" borderId="1" xfId="0" applyFont="1" applyFill="1" applyBorder="1"/>
    <xf numFmtId="0" fontId="0" fillId="7" borderId="1" xfId="0" applyFill="1" applyBorder="1"/>
    <xf numFmtId="0" fontId="0" fillId="7" borderId="0" xfId="0" applyFill="1"/>
    <xf numFmtId="0" fontId="0" fillId="7" borderId="1" xfId="0" applyFont="1" applyFill="1" applyBorder="1"/>
    <xf numFmtId="0" fontId="3" fillId="7" borderId="1" xfId="0" applyFont="1" applyFill="1" applyBorder="1"/>
    <xf numFmtId="0" fontId="7" fillId="3" borderId="9" xfId="2" applyFont="1" applyFill="1"/>
    <xf numFmtId="0" fontId="9" fillId="9" borderId="9" xfId="2" quotePrefix="1" applyFont="1" applyFill="1"/>
    <xf numFmtId="11" fontId="7" fillId="3" borderId="9" xfId="2" applyNumberFormat="1" applyFont="1" applyFill="1"/>
    <xf numFmtId="2" fontId="7" fillId="3" borderId="9" xfId="2" applyNumberFormat="1" applyFont="1" applyFill="1"/>
    <xf numFmtId="0" fontId="6" fillId="3" borderId="1" xfId="0" applyFont="1" applyFill="1" applyBorder="1"/>
    <xf numFmtId="0" fontId="10" fillId="3" borderId="1" xfId="0" applyFont="1" applyFill="1" applyBorder="1"/>
    <xf numFmtId="0" fontId="7" fillId="4" borderId="11" xfId="2" applyFont="1" applyBorder="1"/>
    <xf numFmtId="11" fontId="0" fillId="0" borderId="0" xfId="0" applyNumberFormat="1"/>
    <xf numFmtId="164" fontId="0" fillId="0" borderId="0" xfId="0" applyNumberFormat="1"/>
    <xf numFmtId="0" fontId="3" fillId="6" borderId="4" xfId="0" applyFont="1" applyFill="1" applyBorder="1"/>
    <xf numFmtId="2" fontId="0" fillId="0" borderId="0" xfId="0" applyNumberFormat="1"/>
    <xf numFmtId="0" fontId="7" fillId="3" borderId="9" xfId="2" applyFont="1" applyFill="1" applyAlignment="1">
      <alignment horizontal="right"/>
    </xf>
    <xf numFmtId="2" fontId="7" fillId="4" borderId="12" xfId="2" applyNumberFormat="1" applyFont="1" applyBorder="1"/>
    <xf numFmtId="0" fontId="7" fillId="4" borderId="1" xfId="2" applyFont="1" applyBorder="1"/>
    <xf numFmtId="0" fontId="12" fillId="3" borderId="1" xfId="0" applyFont="1" applyFill="1" applyBorder="1"/>
    <xf numFmtId="0" fontId="13" fillId="3" borderId="1" xfId="0" applyFont="1" applyFill="1" applyBorder="1"/>
    <xf numFmtId="11" fontId="14" fillId="9" borderId="9" xfId="2" applyNumberFormat="1" applyFont="1" applyFill="1"/>
    <xf numFmtId="11" fontId="7" fillId="9" borderId="9" xfId="2" applyNumberFormat="1" applyFont="1" applyFill="1"/>
    <xf numFmtId="0" fontId="5" fillId="6" borderId="0" xfId="0" applyFont="1" applyFill="1"/>
    <xf numFmtId="165" fontId="7" fillId="4" borderId="9" xfId="2" applyNumberFormat="1" applyFont="1" applyAlignment="1">
      <alignment horizontal="right"/>
    </xf>
    <xf numFmtId="0" fontId="0" fillId="0" borderId="13" xfId="0" applyBorder="1"/>
    <xf numFmtId="0" fontId="15" fillId="0" borderId="0" xfId="0" applyFont="1"/>
    <xf numFmtId="166" fontId="7" fillId="4" borderId="9" xfId="2" applyNumberFormat="1" applyFont="1"/>
    <xf numFmtId="167" fontId="7" fillId="4" borderId="9" xfId="2" applyNumberFormat="1" applyFont="1" applyAlignment="1">
      <alignment horizontal="center"/>
    </xf>
    <xf numFmtId="165" fontId="7" fillId="4" borderId="9" xfId="2" applyNumberFormat="1" applyFont="1" applyAlignment="1">
      <alignment horizontal="center"/>
    </xf>
    <xf numFmtId="0" fontId="16" fillId="6" borderId="0" xfId="4" applyFill="1" applyBorder="1"/>
    <xf numFmtId="164" fontId="7" fillId="4" borderId="9" xfId="2" applyNumberFormat="1" applyFont="1" applyAlignment="1">
      <alignment horizontal="center"/>
    </xf>
    <xf numFmtId="165" fontId="7" fillId="4" borderId="9" xfId="2" applyNumberFormat="1" applyFont="1"/>
    <xf numFmtId="0" fontId="16" fillId="0" borderId="0" xfId="0" applyFont="1"/>
    <xf numFmtId="0" fontId="5" fillId="0" borderId="1" xfId="0" applyFont="1" applyBorder="1" applyProtection="1">
      <protection locked="0"/>
    </xf>
    <xf numFmtId="2" fontId="7" fillId="3" borderId="9" xfId="2" applyNumberFormat="1" applyFont="1" applyFill="1" applyProtection="1">
      <protection locked="0"/>
    </xf>
    <xf numFmtId="0" fontId="5" fillId="8" borderId="1" xfId="0" applyFont="1" applyFill="1" applyBorder="1" applyProtection="1">
      <protection locked="0"/>
    </xf>
    <xf numFmtId="11" fontId="8" fillId="8" borderId="1" xfId="1" applyNumberFormat="1" applyFont="1" applyFill="1" applyBorder="1" applyProtection="1">
      <protection locked="0"/>
    </xf>
  </cellXfs>
  <cellStyles count="5">
    <cellStyle name="60 % - Farve6" xfId="1" builtinId="52"/>
    <cellStyle name="Advarselstekst" xfId="4" builtinId="11"/>
    <cellStyle name="Bemærk!" xfId="3" builtinId="10"/>
    <cellStyle name="Normal" xfId="0" builtinId="0"/>
    <cellStyle name="Output" xfId="2" builtinId="21"/>
  </cellStyles>
  <dxfs count="0"/>
  <tableStyles count="0" defaultTableStyle="TableStyleMedium2" defaultPivotStyle="PivotStyleLight16"/>
  <colors>
    <mruColors>
      <color rgb="FFA2B1F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Regulation</a:t>
            </a:r>
            <a:r>
              <a:rPr lang="en-US" baseline="0"/>
              <a:t> </a:t>
            </a:r>
            <a:r>
              <a:rPr lang="en-US"/>
              <a:t>Qmax, emptying [m^3/s]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'Dischar to sewer, inlet in top '!$A$33</c:f>
              <c:strCache>
                <c:ptCount val="1"/>
                <c:pt idx="0">
                  <c:v>Emptying with H.-regulation based on control node B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'Dischar to sewer, inlet in top '!$A$36:$A$47</c:f>
              <c:numCache>
                <c:formatCode>General</c:formatCode>
                <c:ptCount val="12"/>
                <c:pt idx="0">
                  <c:v>10</c:v>
                </c:pt>
                <c:pt idx="1">
                  <c:v>10.1</c:v>
                </c:pt>
                <c:pt idx="2">
                  <c:v>10.199999999999999</c:v>
                </c:pt>
                <c:pt idx="3">
                  <c:v>10.3</c:v>
                </c:pt>
                <c:pt idx="4">
                  <c:v>10.4</c:v>
                </c:pt>
                <c:pt idx="5">
                  <c:v>10.5</c:v>
                </c:pt>
                <c:pt idx="6">
                  <c:v>10.6</c:v>
                </c:pt>
                <c:pt idx="7" formatCode="0.00">
                  <c:v>10.7</c:v>
                </c:pt>
                <c:pt idx="8">
                  <c:v>10.8</c:v>
                </c:pt>
                <c:pt idx="9">
                  <c:v>10.9</c:v>
                </c:pt>
                <c:pt idx="10">
                  <c:v>11</c:v>
                </c:pt>
                <c:pt idx="11">
                  <c:v>16</c:v>
                </c:pt>
              </c:numCache>
            </c:numRef>
          </c:xVal>
          <c:yVal>
            <c:numRef>
              <c:f>'Dischar to sewer, inlet in top '!$B$36:$B$47</c:f>
              <c:numCache>
                <c:formatCode>0.0000</c:formatCode>
                <c:ptCount val="12"/>
                <c:pt idx="0">
                  <c:v>0</c:v>
                </c:pt>
                <c:pt idx="1">
                  <c:v>3.9626408180093111E-4</c:v>
                </c:pt>
                <c:pt idx="2">
                  <c:v>2.0914943627659459E-3</c:v>
                </c:pt>
                <c:pt idx="3">
                  <c:v>5.534465952999763E-3</c:v>
                </c:pt>
                <c:pt idx="4">
                  <c:v>1.1038973428026429E-2</c:v>
                </c:pt>
                <c:pt idx="5">
                  <c:v>1.8858742002299513E-2</c:v>
                </c:pt>
                <c:pt idx="6">
                  <c:v>2.9211086427545524E-2</c:v>
                </c:pt>
                <c:pt idx="7">
                  <c:v>4.2288278387755153E-2</c:v>
                </c:pt>
                <c:pt idx="8">
                  <c:v>5.8264051060370588E-2</c:v>
                </c:pt>
                <c:pt idx="9">
                  <c:v>7.7297728438331062E-2</c:v>
                </c:pt>
                <c:pt idx="10">
                  <c:v>9.9537037037037035E-2</c:v>
                </c:pt>
                <c:pt idx="11">
                  <c:v>0.17925913069080562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DF0-407E-8125-A30996B84D58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'Dischar to sewer, inlet in top '!$A$56:$A$57</c:f>
              <c:numCache>
                <c:formatCode>General</c:formatCode>
                <c:ptCount val="2"/>
              </c:numCache>
            </c:numRef>
          </c:xVal>
          <c:yVal>
            <c:numRef>
              <c:f>'Dischar to sewer, inlet in top '!$B$56:$B$57</c:f>
              <c:numCache>
                <c:formatCode>General</c:formatCode>
                <c:ptCount val="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ECC-4C08-B923-B7F2F3C3EB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1374800"/>
        <c:axId val="1021400176"/>
      </c:scatterChart>
      <c:valAx>
        <c:axId val="10213748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a-DK"/>
                  <a:t>.H [m] in controlnode B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021400176"/>
        <c:crosses val="autoZero"/>
        <c:crossBetween val="midCat"/>
      </c:valAx>
      <c:valAx>
        <c:axId val="1021400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a-DK"/>
                  <a:t>m3/s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0.0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0213748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Regulation</a:t>
            </a:r>
            <a:r>
              <a:rPr lang="en-US" baseline="0"/>
              <a:t> </a:t>
            </a:r>
            <a:r>
              <a:rPr lang="en-US"/>
              <a:t>Qmax, filling [m^3/s]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'Dischar to sewer, inlet in top '!$A$27</c:f>
              <c:strCache>
                <c:ptCount val="1"/>
                <c:pt idx="0">
                  <c:v>Filling with H.-regulation based on control node A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'Dischar to sewer, inlet in top '!$A$30:$A$31</c:f>
              <c:numCache>
                <c:formatCode>General</c:formatCode>
                <c:ptCount val="2"/>
                <c:pt idx="0">
                  <c:v>10</c:v>
                </c:pt>
                <c:pt idx="1">
                  <c:v>16</c:v>
                </c:pt>
              </c:numCache>
            </c:numRef>
          </c:xVal>
          <c:yVal>
            <c:numRef>
              <c:f>'Dischar to sewer, inlet in top '!$B$30:$B$31</c:f>
              <c:numCache>
                <c:formatCode>0.000</c:formatCode>
                <c:ptCount val="2"/>
                <c:pt idx="0">
                  <c:v>2.488425925925926E-4</c:v>
                </c:pt>
                <c:pt idx="1">
                  <c:v>6.7257019231660609E-2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CE8-48A4-B496-6209A84A119A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'Dischar to sewer, inlet in top '!$A$56:$A$57</c:f>
              <c:numCache>
                <c:formatCode>General</c:formatCode>
                <c:ptCount val="2"/>
              </c:numCache>
            </c:numRef>
          </c:xVal>
          <c:yVal>
            <c:numRef>
              <c:f>'Dischar to sewer, inlet in top '!$B$56:$B$57</c:f>
              <c:numCache>
                <c:formatCode>General</c:formatCode>
                <c:ptCount val="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CE8-48A4-B496-6209A84A11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1374800"/>
        <c:axId val="1021400176"/>
      </c:scatterChart>
      <c:valAx>
        <c:axId val="10213748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a-DK"/>
                  <a:t>.H [m] in controlnode 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021400176"/>
        <c:crosses val="autoZero"/>
        <c:crossBetween val="midCat"/>
      </c:valAx>
      <c:valAx>
        <c:axId val="1021400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a-DK"/>
                  <a:t>m3/s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0213748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Regulation</a:t>
            </a:r>
            <a:r>
              <a:rPr lang="en-US" baseline="0"/>
              <a:t> </a:t>
            </a:r>
            <a:r>
              <a:rPr lang="en-US"/>
              <a:t>Qmax, emptying [m^3/s]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'Dischar to sewer, inlet in top '!$A$33</c:f>
              <c:strCache>
                <c:ptCount val="1"/>
                <c:pt idx="0">
                  <c:v>Emptying with H.-regulation based on control node B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'Dischar to sewer, inlet in top '!$A$52:$A$53</c:f>
              <c:numCache>
                <c:formatCode>General</c:formatCode>
                <c:ptCount val="2"/>
                <c:pt idx="0">
                  <c:v>0</c:v>
                </c:pt>
                <c:pt idx="1">
                  <c:v>6</c:v>
                </c:pt>
              </c:numCache>
            </c:numRef>
          </c:xVal>
          <c:yVal>
            <c:numRef>
              <c:f>'Dischar to sewer, inlet in top '!$B$52:$B$53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9.5666512384522312E-2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9FB-4A30-A9A7-8ADB63A9D181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'Dischar to sewer, inlet in top '!$A$56:$A$57</c:f>
              <c:numCache>
                <c:formatCode>General</c:formatCode>
                <c:ptCount val="2"/>
              </c:numCache>
            </c:numRef>
          </c:xVal>
          <c:yVal>
            <c:numRef>
              <c:f>'Dischar to sewer, inlet in top '!$B$56:$B$57</c:f>
              <c:numCache>
                <c:formatCode>General</c:formatCode>
                <c:ptCount val="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9FB-4A30-A9A7-8ADB63A9D1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1374800"/>
        <c:axId val="1021400176"/>
      </c:scatterChart>
      <c:valAx>
        <c:axId val="10213748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a-DK"/>
                  <a:t>dH [m] in controlnode B and C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021400176"/>
        <c:crosses val="autoZero"/>
        <c:crossBetween val="midCat"/>
      </c:valAx>
      <c:valAx>
        <c:axId val="1021400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a-DK"/>
                  <a:t>m3/s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0213748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Regulation</a:t>
            </a:r>
            <a:r>
              <a:rPr lang="en-US" baseline="0"/>
              <a:t> </a:t>
            </a:r>
            <a:r>
              <a:rPr lang="en-US"/>
              <a:t>Qmax, emptying [m^3/s]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'Dischar to sewer, inlet in bot'!$A$35</c:f>
              <c:strCache>
                <c:ptCount val="1"/>
                <c:pt idx="0">
                  <c:v>Emptying with H.-regulation based on control node B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'Dischar to sewer, inlet in bot'!$A$38:$A$40</c:f>
              <c:numCache>
                <c:formatCode>General</c:formatCode>
                <c:ptCount val="3"/>
                <c:pt idx="0">
                  <c:v>10</c:v>
                </c:pt>
                <c:pt idx="1">
                  <c:v>10.85</c:v>
                </c:pt>
                <c:pt idx="2">
                  <c:v>13</c:v>
                </c:pt>
              </c:numCache>
            </c:numRef>
          </c:xVal>
          <c:yVal>
            <c:numRef>
              <c:f>'Dischar to sewer, inlet in bot'!$B$38:$B$40</c:f>
              <c:numCache>
                <c:formatCode>0.000</c:formatCode>
                <c:ptCount val="3"/>
                <c:pt idx="0">
                  <c:v>0</c:v>
                </c:pt>
                <c:pt idx="1">
                  <c:v>0</c:v>
                </c:pt>
                <c:pt idx="2" formatCode="0.00000">
                  <c:v>1.9115007928578811E-2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37F-4EC0-A474-0A7E80FCAB92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'Dischar to sewer, inlet in bot'!$A$55:$A$56</c:f>
              <c:numCache>
                <c:formatCode>General</c:formatCode>
                <c:ptCount val="2"/>
              </c:numCache>
            </c:numRef>
          </c:xVal>
          <c:yVal>
            <c:numRef>
              <c:f>'Dischar to sewer, inlet in bot'!$B$55:$B$56</c:f>
              <c:numCache>
                <c:formatCode>General</c:formatCode>
                <c:ptCount val="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37F-4EC0-A474-0A7E80FCAB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1374800"/>
        <c:axId val="1021400176"/>
      </c:scatterChart>
      <c:valAx>
        <c:axId val="10213748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a-DK"/>
                  <a:t>.H [m] in controlnode B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021400176"/>
        <c:crosses val="autoZero"/>
        <c:crossBetween val="midCat"/>
      </c:valAx>
      <c:valAx>
        <c:axId val="1021400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a-DK"/>
                  <a:t>m3/s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0213748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Regulation</a:t>
            </a:r>
            <a:r>
              <a:rPr lang="en-US" baseline="0"/>
              <a:t> </a:t>
            </a:r>
            <a:r>
              <a:rPr lang="en-US"/>
              <a:t>Qmax, filling [m^3/s]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'Dischar to sewer, inlet in bot'!$A$29</c:f>
              <c:strCache>
                <c:ptCount val="1"/>
                <c:pt idx="0">
                  <c:v>Filling with dH.-regulation based on control node A and B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'Dischar to sewer, inlet in bot'!$A$32:$A$33</c:f>
              <c:numCache>
                <c:formatCode>General</c:formatCode>
                <c:ptCount val="2"/>
                <c:pt idx="0">
                  <c:v>0</c:v>
                </c:pt>
                <c:pt idx="1">
                  <c:v>3</c:v>
                </c:pt>
              </c:numCache>
            </c:numRef>
          </c:xVal>
          <c:yVal>
            <c:numRef>
              <c:f>'Dischar to sewer, inlet in bot'!$B$32:$B$33</c:f>
              <c:numCache>
                <c:formatCode>0.000</c:formatCode>
                <c:ptCount val="2"/>
                <c:pt idx="0">
                  <c:v>0</c:v>
                </c:pt>
                <c:pt idx="1">
                  <c:v>0.48781701022546359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C0D-405A-B848-79FB17E6A403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'Dischar to sewer, inlet in bot'!$A$55:$A$56</c:f>
              <c:numCache>
                <c:formatCode>General</c:formatCode>
                <c:ptCount val="2"/>
              </c:numCache>
            </c:numRef>
          </c:xVal>
          <c:yVal>
            <c:numRef>
              <c:f>'Dischar to sewer, inlet in bot'!$B$55:$B$56</c:f>
              <c:numCache>
                <c:formatCode>General</c:formatCode>
                <c:ptCount val="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C0D-405A-B848-79FB17E6A4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1374800"/>
        <c:axId val="1021400176"/>
      </c:scatterChart>
      <c:valAx>
        <c:axId val="10213748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lang="da-DK"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a-DK"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rPr>
                  <a:t>dH [m] in controlnode A and B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lang="da-DK" sz="10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021400176"/>
        <c:crosses val="autoZero"/>
        <c:crossBetween val="midCat"/>
      </c:valAx>
      <c:valAx>
        <c:axId val="1021400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a-DK"/>
                  <a:t>m3/s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0213748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Regulation</a:t>
            </a:r>
            <a:r>
              <a:rPr lang="en-US" baseline="0"/>
              <a:t> </a:t>
            </a:r>
            <a:r>
              <a:rPr lang="en-US"/>
              <a:t>Qmax, emptying [m^3/s]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'Dischar to sewer, inlet in bot'!$A$35</c:f>
              <c:strCache>
                <c:ptCount val="1"/>
                <c:pt idx="0">
                  <c:v>Emptying with H.-regulation based on control node B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'Dischar to sewer, inlet in bot'!$A$45:$A$52</c:f>
              <c:numCache>
                <c:formatCode>General</c:formatCode>
                <c:ptCount val="8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0.5</c:v>
                </c:pt>
                <c:pt idx="4">
                  <c:v>1</c:v>
                </c:pt>
                <c:pt idx="5">
                  <c:v>1.5</c:v>
                </c:pt>
                <c:pt idx="6">
                  <c:v>2</c:v>
                </c:pt>
                <c:pt idx="7">
                  <c:v>3</c:v>
                </c:pt>
              </c:numCache>
            </c:numRef>
          </c:xVal>
          <c:yVal>
            <c:numRef>
              <c:f>'Dischar to sewer, inlet in bot'!$B$45:$B$52</c:f>
              <c:numCache>
                <c:formatCode>0.000</c:formatCode>
                <c:ptCount val="8"/>
                <c:pt idx="0">
                  <c:v>0</c:v>
                </c:pt>
                <c:pt idx="1">
                  <c:v>7.1223965232666553E-2</c:v>
                </c:pt>
                <c:pt idx="2">
                  <c:v>0.10072589759802685</c:v>
                </c:pt>
                <c:pt idx="3">
                  <c:v>0.15926162788732404</c:v>
                </c:pt>
                <c:pt idx="4">
                  <c:v>0.22522995412387078</c:v>
                </c:pt>
                <c:pt idx="5">
                  <c:v>0.27584923119697363</c:v>
                </c:pt>
                <c:pt idx="6">
                  <c:v>0.31852325577464807</c:v>
                </c:pt>
                <c:pt idx="7">
                  <c:v>0.3901097239289516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3FE-4794-95FF-7EF3808349CC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'Dischar to sewer, inlet in bot'!$A$55:$A$56</c:f>
              <c:numCache>
                <c:formatCode>General</c:formatCode>
                <c:ptCount val="2"/>
              </c:numCache>
            </c:numRef>
          </c:xVal>
          <c:yVal>
            <c:numRef>
              <c:f>'Dischar to sewer, inlet in bot'!$B$55:$B$56</c:f>
              <c:numCache>
                <c:formatCode>General</c:formatCode>
                <c:ptCount val="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3FE-4794-95FF-7EF3808349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1374800"/>
        <c:axId val="1021400176"/>
      </c:scatterChart>
      <c:valAx>
        <c:axId val="10213748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a-DK"/>
                  <a:t>dH [m] in controlnode B and C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021400176"/>
        <c:crosses val="autoZero"/>
        <c:crossBetween val="midCat"/>
      </c:valAx>
      <c:valAx>
        <c:axId val="1021400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a-DK"/>
                  <a:t>m3/s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0213748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Infiltration [m^3/s]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Infiltration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Infiltration!$G$20:$G$30</c:f>
              <c:numCache>
                <c:formatCode>0.00</c:formatCode>
                <c:ptCount val="11"/>
                <c:pt idx="0" formatCode="General">
                  <c:v>10</c:v>
                </c:pt>
                <c:pt idx="1">
                  <c:v>10.1</c:v>
                </c:pt>
                <c:pt idx="2">
                  <c:v>10.199999999999999</c:v>
                </c:pt>
                <c:pt idx="3">
                  <c:v>10.299999999999999</c:v>
                </c:pt>
                <c:pt idx="4">
                  <c:v>10.399999999999999</c:v>
                </c:pt>
                <c:pt idx="5">
                  <c:v>10.499999999999998</c:v>
                </c:pt>
                <c:pt idx="6">
                  <c:v>10.599999999999998</c:v>
                </c:pt>
                <c:pt idx="7">
                  <c:v>10.699999999999998</c:v>
                </c:pt>
                <c:pt idx="8">
                  <c:v>10.799999999999997</c:v>
                </c:pt>
                <c:pt idx="9">
                  <c:v>10.899999999999997</c:v>
                </c:pt>
                <c:pt idx="10">
                  <c:v>10.999999999999996</c:v>
                </c:pt>
              </c:numCache>
            </c:numRef>
          </c:xVal>
          <c:yVal>
            <c:numRef>
              <c:f>Infiltration!$H$20:$H$30</c:f>
              <c:numCache>
                <c:formatCode>0.00E+00</c:formatCode>
                <c:ptCount val="11"/>
                <c:pt idx="0">
                  <c:v>1E-3</c:v>
                </c:pt>
                <c:pt idx="1">
                  <c:v>1.0399999999999999E-3</c:v>
                </c:pt>
                <c:pt idx="2">
                  <c:v>1.0799999999999998E-3</c:v>
                </c:pt>
                <c:pt idx="3">
                  <c:v>1.1199999999999997E-3</c:v>
                </c:pt>
                <c:pt idx="4">
                  <c:v>1.1599999999999996E-3</c:v>
                </c:pt>
                <c:pt idx="5">
                  <c:v>1.1999999999999995E-3</c:v>
                </c:pt>
                <c:pt idx="6">
                  <c:v>1.2399999999999993E-3</c:v>
                </c:pt>
                <c:pt idx="7">
                  <c:v>1.279999999999999E-3</c:v>
                </c:pt>
                <c:pt idx="8">
                  <c:v>1.3199999999999989E-3</c:v>
                </c:pt>
                <c:pt idx="9">
                  <c:v>1.359999999999999E-3</c:v>
                </c:pt>
                <c:pt idx="10">
                  <c:v>1.3999999999999987E-3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7C3-4B50-A1B3-48AEA50036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1374800"/>
        <c:axId val="1021400176"/>
      </c:scatterChart>
      <c:valAx>
        <c:axId val="10213748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a-DK"/>
                  <a:t>.H [m]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021400176"/>
        <c:crosses val="autoZero"/>
        <c:crossBetween val="midCat"/>
      </c:valAx>
      <c:valAx>
        <c:axId val="1021400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a-DK"/>
                  <a:t>m3/s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0213748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200025</xdr:colOff>
      <xdr:row>33</xdr:row>
      <xdr:rowOff>123824</xdr:rowOff>
    </xdr:from>
    <xdr:to>
      <xdr:col>11</xdr:col>
      <xdr:colOff>409575</xdr:colOff>
      <xdr:row>47</xdr:row>
      <xdr:rowOff>76199</xdr:rowOff>
    </xdr:to>
    <xdr:graphicFrame macro="">
      <xdr:nvGraphicFramePr>
        <xdr:cNvPr id="10" name="Diagram 9">
          <a:extLst>
            <a:ext uri="{FF2B5EF4-FFF2-40B4-BE49-F238E27FC236}">
              <a16:creationId xmlns:a16="http://schemas.microsoft.com/office/drawing/2014/main" id="{5C6371B6-0DD8-402C-9A06-5C436EBF6B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304800</xdr:colOff>
      <xdr:row>3</xdr:row>
      <xdr:rowOff>38100</xdr:rowOff>
    </xdr:from>
    <xdr:to>
      <xdr:col>15</xdr:col>
      <xdr:colOff>476250</xdr:colOff>
      <xdr:row>14</xdr:row>
      <xdr:rowOff>142876</xdr:rowOff>
    </xdr:to>
    <xdr:grpSp>
      <xdr:nvGrpSpPr>
        <xdr:cNvPr id="17" name="Gruppe 16">
          <a:extLst>
            <a:ext uri="{FF2B5EF4-FFF2-40B4-BE49-F238E27FC236}">
              <a16:creationId xmlns:a16="http://schemas.microsoft.com/office/drawing/2014/main" id="{1F6AE5F3-C18D-42C0-98CB-DE034F960702}"/>
            </a:ext>
          </a:extLst>
        </xdr:cNvPr>
        <xdr:cNvGrpSpPr/>
      </xdr:nvGrpSpPr>
      <xdr:grpSpPr>
        <a:xfrm>
          <a:off x="8248650" y="609600"/>
          <a:ext cx="6877050" cy="2200276"/>
          <a:chOff x="6181725" y="314325"/>
          <a:chExt cx="6877050" cy="2200276"/>
        </a:xfrm>
      </xdr:grpSpPr>
      <xdr:sp macro="" textlink="">
        <xdr:nvSpPr>
          <xdr:cNvPr id="2" name="Ellipse 1">
            <a:extLst>
              <a:ext uri="{FF2B5EF4-FFF2-40B4-BE49-F238E27FC236}">
                <a16:creationId xmlns:a16="http://schemas.microsoft.com/office/drawing/2014/main" id="{2BAAAB25-C711-4A63-91AB-F79B3C821605}"/>
              </a:ext>
            </a:extLst>
          </xdr:cNvPr>
          <xdr:cNvSpPr/>
        </xdr:nvSpPr>
        <xdr:spPr>
          <a:xfrm>
            <a:off x="8210550" y="1181099"/>
            <a:ext cx="685800" cy="476251"/>
          </a:xfrm>
          <a:prstGeom prst="ellipse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a-DK" sz="1100"/>
          </a:p>
        </xdr:txBody>
      </xdr:sp>
      <xdr:sp macro="" textlink="">
        <xdr:nvSpPr>
          <xdr:cNvPr id="4" name="Tekstfelt 3">
            <a:extLst>
              <a:ext uri="{FF2B5EF4-FFF2-40B4-BE49-F238E27FC236}">
                <a16:creationId xmlns:a16="http://schemas.microsoft.com/office/drawing/2014/main" id="{E22F69C3-D711-43BE-B315-D15AC55FB7E7}"/>
              </a:ext>
            </a:extLst>
          </xdr:cNvPr>
          <xdr:cNvSpPr txBox="1"/>
        </xdr:nvSpPr>
        <xdr:spPr>
          <a:xfrm>
            <a:off x="8220074" y="1724026"/>
            <a:ext cx="1209675" cy="6096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da-DK" sz="1100"/>
              <a:t>Rockflow magazine</a:t>
            </a:r>
          </a:p>
          <a:p>
            <a:r>
              <a:rPr lang="da-DK" sz="1100"/>
              <a:t>Control node B</a:t>
            </a:r>
          </a:p>
        </xdr:txBody>
      </xdr:sp>
      <xdr:sp macro="" textlink="">
        <xdr:nvSpPr>
          <xdr:cNvPr id="5" name="Ellipse 4">
            <a:extLst>
              <a:ext uri="{FF2B5EF4-FFF2-40B4-BE49-F238E27FC236}">
                <a16:creationId xmlns:a16="http://schemas.microsoft.com/office/drawing/2014/main" id="{91BDBFC1-255A-4AF6-93CD-198B87CBB5E7}"/>
              </a:ext>
            </a:extLst>
          </xdr:cNvPr>
          <xdr:cNvSpPr/>
        </xdr:nvSpPr>
        <xdr:spPr>
          <a:xfrm>
            <a:off x="6981825" y="847725"/>
            <a:ext cx="266700" cy="219075"/>
          </a:xfrm>
          <a:prstGeom prst="ellipse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a-DK" sz="1100"/>
          </a:p>
        </xdr:txBody>
      </xdr:sp>
      <xdr:cxnSp macro="">
        <xdr:nvCxnSpPr>
          <xdr:cNvPr id="8" name="Lige pilforbindelse 7">
            <a:extLst>
              <a:ext uri="{FF2B5EF4-FFF2-40B4-BE49-F238E27FC236}">
                <a16:creationId xmlns:a16="http://schemas.microsoft.com/office/drawing/2014/main" id="{448981C5-264B-4BB5-B092-D7CC8F7BA46B}"/>
              </a:ext>
            </a:extLst>
          </xdr:cNvPr>
          <xdr:cNvCxnSpPr>
            <a:stCxn id="2" idx="6"/>
            <a:endCxn id="11" idx="3"/>
          </xdr:cNvCxnSpPr>
        </xdr:nvCxnSpPr>
        <xdr:spPr>
          <a:xfrm flipV="1">
            <a:off x="8896350" y="996617"/>
            <a:ext cx="1058232" cy="422608"/>
          </a:xfrm>
          <a:prstGeom prst="straightConnector1">
            <a:avLst/>
          </a:prstGeom>
          <a:ln w="38100"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" name="Lige pilforbindelse 8">
            <a:extLst>
              <a:ext uri="{FF2B5EF4-FFF2-40B4-BE49-F238E27FC236}">
                <a16:creationId xmlns:a16="http://schemas.microsoft.com/office/drawing/2014/main" id="{17182782-52EC-4126-801C-E3D4FBB9B218}"/>
              </a:ext>
            </a:extLst>
          </xdr:cNvPr>
          <xdr:cNvCxnSpPr/>
        </xdr:nvCxnSpPr>
        <xdr:spPr>
          <a:xfrm flipV="1">
            <a:off x="7277100" y="942975"/>
            <a:ext cx="2590800" cy="23813"/>
          </a:xfrm>
          <a:prstGeom prst="straightConnector1">
            <a:avLst/>
          </a:prstGeom>
          <a:ln w="38100">
            <a:solidFill>
              <a:schemeClr val="tx1">
                <a:lumMod val="95000"/>
                <a:lumOff val="5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1" name="Ellipse 10">
            <a:extLst>
              <a:ext uri="{FF2B5EF4-FFF2-40B4-BE49-F238E27FC236}">
                <a16:creationId xmlns:a16="http://schemas.microsoft.com/office/drawing/2014/main" id="{F872B42D-84B4-48AE-916C-7157D023D10F}"/>
              </a:ext>
            </a:extLst>
          </xdr:cNvPr>
          <xdr:cNvSpPr/>
        </xdr:nvSpPr>
        <xdr:spPr>
          <a:xfrm>
            <a:off x="9915525" y="809625"/>
            <a:ext cx="266700" cy="219075"/>
          </a:xfrm>
          <a:prstGeom prst="ellipse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a-DK" sz="1100"/>
          </a:p>
        </xdr:txBody>
      </xdr:sp>
      <xdr:cxnSp macro="">
        <xdr:nvCxnSpPr>
          <xdr:cNvPr id="16" name="Lige pilforbindelse 15">
            <a:extLst>
              <a:ext uri="{FF2B5EF4-FFF2-40B4-BE49-F238E27FC236}">
                <a16:creationId xmlns:a16="http://schemas.microsoft.com/office/drawing/2014/main" id="{B6865F93-FA1C-4246-84C5-E2EDA7F06BBD}"/>
              </a:ext>
            </a:extLst>
          </xdr:cNvPr>
          <xdr:cNvCxnSpPr>
            <a:stCxn id="5" idx="5"/>
            <a:endCxn id="2" idx="2"/>
          </xdr:cNvCxnSpPr>
        </xdr:nvCxnSpPr>
        <xdr:spPr>
          <a:xfrm>
            <a:off x="7209468" y="1034717"/>
            <a:ext cx="1001082" cy="384508"/>
          </a:xfrm>
          <a:prstGeom prst="straightConnector1">
            <a:avLst/>
          </a:prstGeom>
          <a:ln w="38100"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0" name="Tekstfelt 19">
            <a:extLst>
              <a:ext uri="{FF2B5EF4-FFF2-40B4-BE49-F238E27FC236}">
                <a16:creationId xmlns:a16="http://schemas.microsoft.com/office/drawing/2014/main" id="{FB4BBB1D-83B9-47EA-A982-2236EE2ACE89}"/>
              </a:ext>
            </a:extLst>
          </xdr:cNvPr>
          <xdr:cNvSpPr txBox="1"/>
        </xdr:nvSpPr>
        <xdr:spPr>
          <a:xfrm>
            <a:off x="7972425" y="561974"/>
            <a:ext cx="1447800" cy="285751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da-DK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sewage link/weir</a:t>
            </a:r>
            <a:endParaRPr lang="da-DK">
              <a:effectLst/>
            </a:endParaRPr>
          </a:p>
        </xdr:txBody>
      </xdr:sp>
      <xdr:sp macro="" textlink="">
        <xdr:nvSpPr>
          <xdr:cNvPr id="21" name="Ellipse 20">
            <a:extLst>
              <a:ext uri="{FF2B5EF4-FFF2-40B4-BE49-F238E27FC236}">
                <a16:creationId xmlns:a16="http://schemas.microsoft.com/office/drawing/2014/main" id="{72100A91-DAD0-45FB-8D44-F0B332A2F6BF}"/>
              </a:ext>
            </a:extLst>
          </xdr:cNvPr>
          <xdr:cNvSpPr/>
        </xdr:nvSpPr>
        <xdr:spPr>
          <a:xfrm>
            <a:off x="9267825" y="1143001"/>
            <a:ext cx="171450" cy="152400"/>
          </a:xfrm>
          <a:prstGeom prst="ellipse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a-DK" sz="1100"/>
          </a:p>
        </xdr:txBody>
      </xdr:sp>
      <xdr:cxnSp macro="">
        <xdr:nvCxnSpPr>
          <xdr:cNvPr id="24" name="Lige pilforbindelse 23">
            <a:extLst>
              <a:ext uri="{FF2B5EF4-FFF2-40B4-BE49-F238E27FC236}">
                <a16:creationId xmlns:a16="http://schemas.microsoft.com/office/drawing/2014/main" id="{CF252857-2B05-4C24-82FA-DAF00634B968}"/>
              </a:ext>
            </a:extLst>
          </xdr:cNvPr>
          <xdr:cNvCxnSpPr>
            <a:cxnSpLocks/>
          </xdr:cNvCxnSpPr>
        </xdr:nvCxnSpPr>
        <xdr:spPr>
          <a:xfrm flipH="1" flipV="1">
            <a:off x="9105900" y="1466850"/>
            <a:ext cx="1247775" cy="638175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6" name="Lige pilforbindelse 25">
            <a:extLst>
              <a:ext uri="{FF2B5EF4-FFF2-40B4-BE49-F238E27FC236}">
                <a16:creationId xmlns:a16="http://schemas.microsoft.com/office/drawing/2014/main" id="{792A6E3C-6F0F-4857-8AE5-88C04791CDDE}"/>
              </a:ext>
            </a:extLst>
          </xdr:cNvPr>
          <xdr:cNvCxnSpPr>
            <a:cxnSpLocks/>
          </xdr:cNvCxnSpPr>
        </xdr:nvCxnSpPr>
        <xdr:spPr>
          <a:xfrm flipH="1" flipV="1">
            <a:off x="9648825" y="1143000"/>
            <a:ext cx="657225" cy="16668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28" name="Tekstfelt 27">
            <a:extLst>
              <a:ext uri="{FF2B5EF4-FFF2-40B4-BE49-F238E27FC236}">
                <a16:creationId xmlns:a16="http://schemas.microsoft.com/office/drawing/2014/main" id="{B8582AFA-2988-4CA2-9359-770E4E3A1CAB}"/>
              </a:ext>
            </a:extLst>
          </xdr:cNvPr>
          <xdr:cNvSpPr txBox="1"/>
        </xdr:nvSpPr>
        <xdr:spPr>
          <a:xfrm>
            <a:off x="10477500" y="1685925"/>
            <a:ext cx="1447800" cy="23812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da-DK" sz="1100"/>
              <a:t>fictional</a:t>
            </a:r>
            <a:r>
              <a:rPr lang="da-DK" sz="1100" baseline="0"/>
              <a:t> node</a:t>
            </a:r>
            <a:endParaRPr lang="da-DK" sz="1100"/>
          </a:p>
        </xdr:txBody>
      </xdr:sp>
      <xdr:cxnSp macro="">
        <xdr:nvCxnSpPr>
          <xdr:cNvPr id="29" name="Lige pilforbindelse 28">
            <a:extLst>
              <a:ext uri="{FF2B5EF4-FFF2-40B4-BE49-F238E27FC236}">
                <a16:creationId xmlns:a16="http://schemas.microsoft.com/office/drawing/2014/main" id="{712F117D-3D14-4EA0-84C6-19EFEDDC250C}"/>
              </a:ext>
            </a:extLst>
          </xdr:cNvPr>
          <xdr:cNvCxnSpPr>
            <a:stCxn id="28" idx="1"/>
            <a:endCxn id="21" idx="5"/>
          </xdr:cNvCxnSpPr>
        </xdr:nvCxnSpPr>
        <xdr:spPr>
          <a:xfrm flipH="1" flipV="1">
            <a:off x="9414167" y="1273083"/>
            <a:ext cx="1063333" cy="531905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23" name="Tekstfelt 22">
            <a:extLst>
              <a:ext uri="{FF2B5EF4-FFF2-40B4-BE49-F238E27FC236}">
                <a16:creationId xmlns:a16="http://schemas.microsoft.com/office/drawing/2014/main" id="{A6E9030E-D212-4D69-A0DE-59E8D65F5508}"/>
              </a:ext>
            </a:extLst>
          </xdr:cNvPr>
          <xdr:cNvSpPr txBox="1"/>
        </xdr:nvSpPr>
        <xdr:spPr>
          <a:xfrm>
            <a:off x="10344150" y="2076450"/>
            <a:ext cx="1781176" cy="438151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lang="da-DK" sz="1100" baseline="0"/>
              <a:t>Emptying with H.-regulation based on control node B</a:t>
            </a:r>
          </a:p>
        </xdr:txBody>
      </xdr:sp>
      <xdr:sp macro="" textlink="">
        <xdr:nvSpPr>
          <xdr:cNvPr id="25" name="Tekstfelt 24">
            <a:extLst>
              <a:ext uri="{FF2B5EF4-FFF2-40B4-BE49-F238E27FC236}">
                <a16:creationId xmlns:a16="http://schemas.microsoft.com/office/drawing/2014/main" id="{E9FA9722-8DED-4A28-AE7B-578AF541BC6D}"/>
              </a:ext>
            </a:extLst>
          </xdr:cNvPr>
          <xdr:cNvSpPr txBox="1"/>
        </xdr:nvSpPr>
        <xdr:spPr>
          <a:xfrm>
            <a:off x="10325100" y="1009650"/>
            <a:ext cx="2733675" cy="485776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lang="da-DK" sz="1100"/>
              <a:t>Flow through</a:t>
            </a:r>
            <a:r>
              <a:rPr lang="da-DK" sz="1100" baseline="0"/>
              <a:t> full buffer with dH.-regulation</a:t>
            </a:r>
          </a:p>
          <a:p>
            <a:pPr algn="l"/>
            <a:r>
              <a:rPr lang="da-DK" sz="1100" baseline="0"/>
              <a:t>based on control node B and C </a:t>
            </a:r>
            <a:endParaRPr lang="da-DK" sz="1100"/>
          </a:p>
        </xdr:txBody>
      </xdr:sp>
      <xdr:sp macro="" textlink="">
        <xdr:nvSpPr>
          <xdr:cNvPr id="27" name="Tekstfelt 26">
            <a:extLst>
              <a:ext uri="{FF2B5EF4-FFF2-40B4-BE49-F238E27FC236}">
                <a16:creationId xmlns:a16="http://schemas.microsoft.com/office/drawing/2014/main" id="{FE0A07DF-C7C4-4841-B9C5-2AEA1554AD3D}"/>
              </a:ext>
            </a:extLst>
          </xdr:cNvPr>
          <xdr:cNvSpPr txBox="1"/>
        </xdr:nvSpPr>
        <xdr:spPr>
          <a:xfrm>
            <a:off x="6353175" y="314325"/>
            <a:ext cx="1123949" cy="46672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lang="da-DK" sz="1100"/>
              <a:t>Upstream node</a:t>
            </a: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da-DK" sz="1100"/>
              <a:t>- c</a:t>
            </a:r>
            <a:r>
              <a:rPr lang="da-DK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ontrol node A</a:t>
            </a:r>
            <a:endParaRPr lang="da-DK">
              <a:effectLst/>
            </a:endParaRPr>
          </a:p>
          <a:p>
            <a:endParaRPr lang="da-DK" sz="1100"/>
          </a:p>
        </xdr:txBody>
      </xdr:sp>
      <xdr:sp macro="" textlink="">
        <xdr:nvSpPr>
          <xdr:cNvPr id="30" name="Tekstfelt 29">
            <a:extLst>
              <a:ext uri="{FF2B5EF4-FFF2-40B4-BE49-F238E27FC236}">
                <a16:creationId xmlns:a16="http://schemas.microsoft.com/office/drawing/2014/main" id="{01214F95-17E4-419B-93AC-2F4ABB97BB71}"/>
              </a:ext>
            </a:extLst>
          </xdr:cNvPr>
          <xdr:cNvSpPr txBox="1"/>
        </xdr:nvSpPr>
        <xdr:spPr>
          <a:xfrm>
            <a:off x="10239375" y="333375"/>
            <a:ext cx="1266826" cy="438149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da-DK" sz="1100"/>
              <a:t>Downstream node</a:t>
            </a:r>
          </a:p>
          <a:p>
            <a:r>
              <a:rPr lang="da-DK" sz="1100"/>
              <a:t>- control node C</a:t>
            </a:r>
          </a:p>
        </xdr:txBody>
      </xdr:sp>
      <xdr:sp macro="" textlink="">
        <xdr:nvSpPr>
          <xdr:cNvPr id="31" name="Tekstfelt 30">
            <a:extLst>
              <a:ext uri="{FF2B5EF4-FFF2-40B4-BE49-F238E27FC236}">
                <a16:creationId xmlns:a16="http://schemas.microsoft.com/office/drawing/2014/main" id="{0BAD070E-6152-41B1-BE2B-F18361697AED}"/>
              </a:ext>
            </a:extLst>
          </xdr:cNvPr>
          <xdr:cNvSpPr txBox="1"/>
        </xdr:nvSpPr>
        <xdr:spPr>
          <a:xfrm>
            <a:off x="6181725" y="1524000"/>
            <a:ext cx="1581150" cy="438151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da-DK" sz="1100"/>
              <a:t>Filling</a:t>
            </a:r>
            <a:r>
              <a:rPr lang="da-DK" sz="1100" baseline="0"/>
              <a:t> with H.-regulation</a:t>
            </a:r>
          </a:p>
          <a:p>
            <a:pPr algn="l"/>
            <a:r>
              <a:rPr lang="da-DK" sz="1100" baseline="0"/>
              <a:t>based on control node A</a:t>
            </a:r>
            <a:endParaRPr lang="da-DK" sz="1100"/>
          </a:p>
        </xdr:txBody>
      </xdr:sp>
      <xdr:cxnSp macro="">
        <xdr:nvCxnSpPr>
          <xdr:cNvPr id="32" name="Lige pilforbindelse 31">
            <a:extLst>
              <a:ext uri="{FF2B5EF4-FFF2-40B4-BE49-F238E27FC236}">
                <a16:creationId xmlns:a16="http://schemas.microsoft.com/office/drawing/2014/main" id="{5CCA8306-9BD7-4BA0-BADD-7E1F762C7B3F}"/>
              </a:ext>
            </a:extLst>
          </xdr:cNvPr>
          <xdr:cNvCxnSpPr>
            <a:stCxn id="31" idx="0"/>
          </xdr:cNvCxnSpPr>
        </xdr:nvCxnSpPr>
        <xdr:spPr>
          <a:xfrm flipV="1">
            <a:off x="6972300" y="1219200"/>
            <a:ext cx="590549" cy="30480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171450</xdr:colOff>
      <xdr:row>19</xdr:row>
      <xdr:rowOff>9525</xdr:rowOff>
    </xdr:from>
    <xdr:to>
      <xdr:col>11</xdr:col>
      <xdr:colOff>381000</xdr:colOff>
      <xdr:row>32</xdr:row>
      <xdr:rowOff>104775</xdr:rowOff>
    </xdr:to>
    <xdr:graphicFrame macro="">
      <xdr:nvGraphicFramePr>
        <xdr:cNvPr id="33" name="Diagram 32">
          <a:extLst>
            <a:ext uri="{FF2B5EF4-FFF2-40B4-BE49-F238E27FC236}">
              <a16:creationId xmlns:a16="http://schemas.microsoft.com/office/drawing/2014/main" id="{AC5FDE70-B137-40C6-BC43-D32BD6545A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171450</xdr:colOff>
      <xdr:row>47</xdr:row>
      <xdr:rowOff>171451</xdr:rowOff>
    </xdr:from>
    <xdr:to>
      <xdr:col>11</xdr:col>
      <xdr:colOff>342900</xdr:colOff>
      <xdr:row>59</xdr:row>
      <xdr:rowOff>142876</xdr:rowOff>
    </xdr:to>
    <xdr:graphicFrame macro="">
      <xdr:nvGraphicFramePr>
        <xdr:cNvPr id="34" name="Diagram 33">
          <a:extLst>
            <a:ext uri="{FF2B5EF4-FFF2-40B4-BE49-F238E27FC236}">
              <a16:creationId xmlns:a16="http://schemas.microsoft.com/office/drawing/2014/main" id="{ECCF9BCC-AABA-4299-BEA3-DE035F69B7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163738</xdr:colOff>
      <xdr:row>32</xdr:row>
      <xdr:rowOff>154215</xdr:rowOff>
    </xdr:from>
    <xdr:to>
      <xdr:col>14</xdr:col>
      <xdr:colOff>417285</xdr:colOff>
      <xdr:row>41</xdr:row>
      <xdr:rowOff>181430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4773A0B9-788C-4937-8FEE-92B11DC93F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107950</xdr:colOff>
      <xdr:row>18</xdr:row>
      <xdr:rowOff>45811</xdr:rowOff>
    </xdr:from>
    <xdr:to>
      <xdr:col>11</xdr:col>
      <xdr:colOff>317500</xdr:colOff>
      <xdr:row>31</xdr:row>
      <xdr:rowOff>159204</xdr:rowOff>
    </xdr:to>
    <xdr:graphicFrame macro="">
      <xdr:nvGraphicFramePr>
        <xdr:cNvPr id="23" name="Diagram 22">
          <a:extLst>
            <a:ext uri="{FF2B5EF4-FFF2-40B4-BE49-F238E27FC236}">
              <a16:creationId xmlns:a16="http://schemas.microsoft.com/office/drawing/2014/main" id="{DF7CE991-6B7E-4902-B6B1-D43E7CDC3D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189592</xdr:colOff>
      <xdr:row>42</xdr:row>
      <xdr:rowOff>171451</xdr:rowOff>
    </xdr:from>
    <xdr:to>
      <xdr:col>11</xdr:col>
      <xdr:colOff>361042</xdr:colOff>
      <xdr:row>55</xdr:row>
      <xdr:rowOff>97519</xdr:rowOff>
    </xdr:to>
    <xdr:graphicFrame macro="">
      <xdr:nvGraphicFramePr>
        <xdr:cNvPr id="24" name="Diagram 23">
          <a:extLst>
            <a:ext uri="{FF2B5EF4-FFF2-40B4-BE49-F238E27FC236}">
              <a16:creationId xmlns:a16="http://schemas.microsoft.com/office/drawing/2014/main" id="{522839BD-EC44-4437-90C0-37DF75668C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483960</xdr:colOff>
      <xdr:row>4</xdr:row>
      <xdr:rowOff>86177</xdr:rowOff>
    </xdr:from>
    <xdr:to>
      <xdr:col>14</xdr:col>
      <xdr:colOff>236311</xdr:colOff>
      <xdr:row>17</xdr:row>
      <xdr:rowOff>48079</xdr:rowOff>
    </xdr:to>
    <xdr:grpSp>
      <xdr:nvGrpSpPr>
        <xdr:cNvPr id="47" name="Gruppe 46">
          <a:extLst>
            <a:ext uri="{FF2B5EF4-FFF2-40B4-BE49-F238E27FC236}">
              <a16:creationId xmlns:a16="http://schemas.microsoft.com/office/drawing/2014/main" id="{5AE48AFD-8C2B-4185-8BBD-11C03E115FFE}"/>
            </a:ext>
          </a:extLst>
        </xdr:cNvPr>
        <xdr:cNvGrpSpPr/>
      </xdr:nvGrpSpPr>
      <xdr:grpSpPr>
        <a:xfrm>
          <a:off x="8748031" y="848177"/>
          <a:ext cx="5830209" cy="2438402"/>
          <a:chOff x="8212818" y="476249"/>
          <a:chExt cx="5830208" cy="2438402"/>
        </a:xfrm>
      </xdr:grpSpPr>
      <xdr:cxnSp macro="">
        <xdr:nvCxnSpPr>
          <xdr:cNvPr id="37" name="Lige pilforbindelse 36">
            <a:extLst>
              <a:ext uri="{FF2B5EF4-FFF2-40B4-BE49-F238E27FC236}">
                <a16:creationId xmlns:a16="http://schemas.microsoft.com/office/drawing/2014/main" id="{4EB9368D-2190-4724-86ED-F827F884834D}"/>
              </a:ext>
            </a:extLst>
          </xdr:cNvPr>
          <xdr:cNvCxnSpPr/>
        </xdr:nvCxnSpPr>
        <xdr:spPr>
          <a:xfrm flipV="1">
            <a:off x="11075900" y="1516673"/>
            <a:ext cx="1010034" cy="395653"/>
          </a:xfrm>
          <a:prstGeom prst="straightConnector1">
            <a:avLst/>
          </a:prstGeom>
          <a:ln w="38100"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46" name="Gruppe 45">
            <a:extLst>
              <a:ext uri="{FF2B5EF4-FFF2-40B4-BE49-F238E27FC236}">
                <a16:creationId xmlns:a16="http://schemas.microsoft.com/office/drawing/2014/main" id="{6390AA92-0016-4DA9-AFF3-BB170AB84820}"/>
              </a:ext>
            </a:extLst>
          </xdr:cNvPr>
          <xdr:cNvGrpSpPr/>
        </xdr:nvGrpSpPr>
        <xdr:grpSpPr>
          <a:xfrm>
            <a:off x="8212818" y="476249"/>
            <a:ext cx="5830208" cy="2438402"/>
            <a:chOff x="8212818" y="476249"/>
            <a:chExt cx="5830208" cy="2438402"/>
          </a:xfrm>
        </xdr:grpSpPr>
        <xdr:grpSp>
          <xdr:nvGrpSpPr>
            <xdr:cNvPr id="3" name="Gruppe 2">
              <a:extLst>
                <a:ext uri="{FF2B5EF4-FFF2-40B4-BE49-F238E27FC236}">
                  <a16:creationId xmlns:a16="http://schemas.microsoft.com/office/drawing/2014/main" id="{C2D5A5D3-0986-42BE-B622-8932CB8778D1}"/>
                </a:ext>
              </a:extLst>
            </xdr:cNvPr>
            <xdr:cNvGrpSpPr/>
          </xdr:nvGrpSpPr>
          <xdr:grpSpPr>
            <a:xfrm>
              <a:off x="8212818" y="476249"/>
              <a:ext cx="5830208" cy="2438402"/>
              <a:chOff x="6019800" y="-104776"/>
              <a:chExt cx="5848351" cy="2438402"/>
            </a:xfrm>
          </xdr:grpSpPr>
          <xdr:sp macro="" textlink="">
            <xdr:nvSpPr>
              <xdr:cNvPr id="4" name="Ellipse 3">
                <a:extLst>
                  <a:ext uri="{FF2B5EF4-FFF2-40B4-BE49-F238E27FC236}">
                    <a16:creationId xmlns:a16="http://schemas.microsoft.com/office/drawing/2014/main" id="{9E235CC6-C001-4B3A-8F3E-4D702BA3D268}"/>
                  </a:ext>
                </a:extLst>
              </xdr:cNvPr>
              <xdr:cNvSpPr/>
            </xdr:nvSpPr>
            <xdr:spPr>
              <a:xfrm>
                <a:off x="8210550" y="1181099"/>
                <a:ext cx="685800" cy="476251"/>
              </a:xfrm>
              <a:prstGeom prst="ellipse">
                <a:avLst/>
              </a:prstGeom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da-DK" sz="1100"/>
              </a:p>
            </xdr:txBody>
          </xdr:sp>
          <xdr:sp macro="" textlink="">
            <xdr:nvSpPr>
              <xdr:cNvPr id="5" name="Tekstfelt 4">
                <a:extLst>
                  <a:ext uri="{FF2B5EF4-FFF2-40B4-BE49-F238E27FC236}">
                    <a16:creationId xmlns:a16="http://schemas.microsoft.com/office/drawing/2014/main" id="{BAEB2BA3-81D2-41DA-BDC2-5B7C52CC9204}"/>
                  </a:ext>
                </a:extLst>
              </xdr:cNvPr>
              <xdr:cNvSpPr txBox="1"/>
            </xdr:nvSpPr>
            <xdr:spPr>
              <a:xfrm>
                <a:off x="8220074" y="1724026"/>
                <a:ext cx="1209675" cy="609600"/>
              </a:xfrm>
              <a:prstGeom prst="rect">
                <a:avLst/>
              </a:prstGeom>
              <a:solidFill>
                <a:schemeClr val="lt1"/>
              </a:solidFill>
              <a:ln w="9525" cmpd="sng">
                <a:solidFill>
                  <a:schemeClr val="lt1">
                    <a:shade val="50000"/>
                  </a:schemeClr>
                </a:solidFill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r>
                  <a:rPr lang="da-DK" sz="1100"/>
                  <a:t>Rockflow magazine</a:t>
                </a:r>
              </a:p>
              <a:p>
                <a:r>
                  <a:rPr lang="da-DK" sz="1100"/>
                  <a:t>Control node B</a:t>
                </a:r>
              </a:p>
            </xdr:txBody>
          </xdr:sp>
          <xdr:sp macro="" textlink="">
            <xdr:nvSpPr>
              <xdr:cNvPr id="6" name="Ellipse 5">
                <a:extLst>
                  <a:ext uri="{FF2B5EF4-FFF2-40B4-BE49-F238E27FC236}">
                    <a16:creationId xmlns:a16="http://schemas.microsoft.com/office/drawing/2014/main" id="{27F28D0B-C2DE-4934-9592-C069D3CA122C}"/>
                  </a:ext>
                </a:extLst>
              </xdr:cNvPr>
              <xdr:cNvSpPr/>
            </xdr:nvSpPr>
            <xdr:spPr>
              <a:xfrm>
                <a:off x="6981825" y="847725"/>
                <a:ext cx="266700" cy="219075"/>
              </a:xfrm>
              <a:prstGeom prst="ellipse">
                <a:avLst/>
              </a:prstGeom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da-DK" sz="1100"/>
              </a:p>
            </xdr:txBody>
          </xdr:sp>
          <xdr:cxnSp macro="">
            <xdr:nvCxnSpPr>
              <xdr:cNvPr id="7" name="Lige pilforbindelse 6">
                <a:extLst>
                  <a:ext uri="{FF2B5EF4-FFF2-40B4-BE49-F238E27FC236}">
                    <a16:creationId xmlns:a16="http://schemas.microsoft.com/office/drawing/2014/main" id="{B1C5CDDD-499C-407F-B1A9-610AA7386A88}"/>
                  </a:ext>
                </a:extLst>
              </xdr:cNvPr>
              <xdr:cNvCxnSpPr/>
            </xdr:nvCxnSpPr>
            <xdr:spPr>
              <a:xfrm flipV="1">
                <a:off x="8925730" y="1050836"/>
                <a:ext cx="1058232" cy="422608"/>
              </a:xfrm>
              <a:prstGeom prst="straightConnector1">
                <a:avLst/>
              </a:prstGeom>
              <a:ln w="38100"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8" name="Lige pilforbindelse 7">
                <a:extLst>
                  <a:ext uri="{FF2B5EF4-FFF2-40B4-BE49-F238E27FC236}">
                    <a16:creationId xmlns:a16="http://schemas.microsoft.com/office/drawing/2014/main" id="{F60E60F0-062D-4202-881D-0E1B7DF6E357}"/>
                  </a:ext>
                </a:extLst>
              </xdr:cNvPr>
              <xdr:cNvCxnSpPr/>
            </xdr:nvCxnSpPr>
            <xdr:spPr>
              <a:xfrm>
                <a:off x="7277100" y="966788"/>
                <a:ext cx="916182" cy="327879"/>
              </a:xfrm>
              <a:prstGeom prst="straightConnector1">
                <a:avLst/>
              </a:prstGeom>
              <a:ln w="38100"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sp macro="" textlink="">
            <xdr:nvSpPr>
              <xdr:cNvPr id="9" name="Ellipse 8">
                <a:extLst>
                  <a:ext uri="{FF2B5EF4-FFF2-40B4-BE49-F238E27FC236}">
                    <a16:creationId xmlns:a16="http://schemas.microsoft.com/office/drawing/2014/main" id="{81531CAA-B6B0-4EA5-B057-050998F21235}"/>
                  </a:ext>
                </a:extLst>
              </xdr:cNvPr>
              <xdr:cNvSpPr/>
            </xdr:nvSpPr>
            <xdr:spPr>
              <a:xfrm>
                <a:off x="9915525" y="809625"/>
                <a:ext cx="266700" cy="219075"/>
              </a:xfrm>
              <a:prstGeom prst="ellipse">
                <a:avLst/>
              </a:prstGeom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da-DK" sz="1100"/>
              </a:p>
            </xdr:txBody>
          </xdr:sp>
          <xdr:cxnSp macro="">
            <xdr:nvCxnSpPr>
              <xdr:cNvPr id="10" name="Lige pilforbindelse 9">
                <a:extLst>
                  <a:ext uri="{FF2B5EF4-FFF2-40B4-BE49-F238E27FC236}">
                    <a16:creationId xmlns:a16="http://schemas.microsoft.com/office/drawing/2014/main" id="{EEBB4100-59ED-4AD0-8817-FAAA428F4444}"/>
                  </a:ext>
                </a:extLst>
              </xdr:cNvPr>
              <xdr:cNvCxnSpPr>
                <a:stCxn id="6" idx="5"/>
                <a:endCxn id="4" idx="2"/>
              </xdr:cNvCxnSpPr>
            </xdr:nvCxnSpPr>
            <xdr:spPr>
              <a:xfrm>
                <a:off x="7209468" y="1034717"/>
                <a:ext cx="1001082" cy="384508"/>
              </a:xfrm>
              <a:prstGeom prst="straightConnector1">
                <a:avLst/>
              </a:prstGeom>
              <a:ln w="38100"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sp macro="" textlink="">
            <xdr:nvSpPr>
              <xdr:cNvPr id="11" name="Tekstfelt 10">
                <a:extLst>
                  <a:ext uri="{FF2B5EF4-FFF2-40B4-BE49-F238E27FC236}">
                    <a16:creationId xmlns:a16="http://schemas.microsoft.com/office/drawing/2014/main" id="{BCA07CFE-4791-4BC9-9B2E-E131D23B6AEB}"/>
                  </a:ext>
                </a:extLst>
              </xdr:cNvPr>
              <xdr:cNvSpPr txBox="1"/>
            </xdr:nvSpPr>
            <xdr:spPr>
              <a:xfrm>
                <a:off x="7419975" y="-104776"/>
                <a:ext cx="2895600" cy="438151"/>
              </a:xfrm>
              <a:prstGeom prst="rect">
                <a:avLst/>
              </a:prstGeom>
              <a:solidFill>
                <a:schemeClr val="lt1"/>
              </a:solidFill>
              <a:ln w="9525" cmpd="sng">
                <a:solidFill>
                  <a:schemeClr val="lt1">
                    <a:shade val="50000"/>
                  </a:schemeClr>
                </a:solidFill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r>
                  <a:rPr lang="da-DK" sz="1100"/>
                  <a:t>Flow in open channels with</a:t>
                </a:r>
                <a:r>
                  <a:rPr lang="da-DK" sz="1100" baseline="0"/>
                  <a:t> </a:t>
                </a:r>
                <a:r>
                  <a:rPr lang="da-DK" sz="1100"/>
                  <a:t>dH.-regulation based on control node B and C</a:t>
                </a:r>
              </a:p>
            </xdr:txBody>
          </xdr:sp>
          <xdr:cxnSp macro="">
            <xdr:nvCxnSpPr>
              <xdr:cNvPr id="13" name="Lige pilforbindelse 12">
                <a:extLst>
                  <a:ext uri="{FF2B5EF4-FFF2-40B4-BE49-F238E27FC236}">
                    <a16:creationId xmlns:a16="http://schemas.microsoft.com/office/drawing/2014/main" id="{A7489F8A-69E7-41EE-BEA4-6C8160955B94}"/>
                  </a:ext>
                </a:extLst>
              </xdr:cNvPr>
              <xdr:cNvCxnSpPr>
                <a:cxnSpLocks/>
              </xdr:cNvCxnSpPr>
            </xdr:nvCxnSpPr>
            <xdr:spPr>
              <a:xfrm flipH="1" flipV="1">
                <a:off x="9363075" y="1276350"/>
                <a:ext cx="676275" cy="285750"/>
              </a:xfrm>
              <a:prstGeom prst="straightConnector1">
                <a:avLst/>
              </a:prstGeom>
              <a:ln>
                <a:tailEnd type="triangle"/>
              </a:ln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  <xdr:sp macro="" textlink="">
            <xdr:nvSpPr>
              <xdr:cNvPr id="17" name="Tekstfelt 16">
                <a:extLst>
                  <a:ext uri="{FF2B5EF4-FFF2-40B4-BE49-F238E27FC236}">
                    <a16:creationId xmlns:a16="http://schemas.microsoft.com/office/drawing/2014/main" id="{A952F231-845A-41E0-B5A7-9603E0ADA3C9}"/>
                  </a:ext>
                </a:extLst>
              </xdr:cNvPr>
              <xdr:cNvSpPr txBox="1"/>
            </xdr:nvSpPr>
            <xdr:spPr>
              <a:xfrm>
                <a:off x="10086975" y="1381126"/>
                <a:ext cx="1781176" cy="641350"/>
              </a:xfrm>
              <a:prstGeom prst="rect">
                <a:avLst/>
              </a:prstGeom>
              <a:solidFill>
                <a:schemeClr val="lt1"/>
              </a:solidFill>
              <a:ln w="9525" cmpd="sng">
                <a:solidFill>
                  <a:schemeClr val="lt1">
                    <a:shade val="50000"/>
                  </a:schemeClr>
                </a:solidFill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pPr algn="l"/>
                <a:r>
                  <a:rPr lang="da-DK" sz="1100" baseline="0"/>
                  <a:t>Emptying with H.-regulation based on control node B</a:t>
                </a:r>
              </a:p>
            </xdr:txBody>
          </xdr:sp>
          <xdr:sp macro="" textlink="">
            <xdr:nvSpPr>
              <xdr:cNvPr id="19" name="Tekstfelt 18">
                <a:extLst>
                  <a:ext uri="{FF2B5EF4-FFF2-40B4-BE49-F238E27FC236}">
                    <a16:creationId xmlns:a16="http://schemas.microsoft.com/office/drawing/2014/main" id="{E69A7B3A-F5DF-48B9-8111-F2E881E65CA2}"/>
                  </a:ext>
                </a:extLst>
              </xdr:cNvPr>
              <xdr:cNvSpPr txBox="1"/>
            </xdr:nvSpPr>
            <xdr:spPr>
              <a:xfrm>
                <a:off x="6019800" y="295275"/>
                <a:ext cx="1123949" cy="466725"/>
              </a:xfrm>
              <a:prstGeom prst="rect">
                <a:avLst/>
              </a:prstGeom>
              <a:solidFill>
                <a:schemeClr val="lt1"/>
              </a:solidFill>
              <a:ln w="9525" cmpd="sng">
                <a:solidFill>
                  <a:schemeClr val="lt1">
                    <a:shade val="50000"/>
                  </a:schemeClr>
                </a:solidFill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pPr algn="l"/>
                <a:r>
                  <a:rPr lang="da-DK" sz="1100"/>
                  <a:t>Upstream node</a:t>
                </a:r>
              </a:p>
              <a:p>
                <a:pPr marL="0" marR="0" lvl="0" indent="0" defTabSz="91440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r>
                  <a:rPr lang="da-DK" sz="1100"/>
                  <a:t>- c</a:t>
                </a:r>
                <a:r>
                  <a:rPr lang="da-DK" sz="1100">
                    <a:solidFill>
                      <a:schemeClr val="dk1"/>
                    </a:solidFill>
                    <a:effectLst/>
                    <a:latin typeface="+mn-lt"/>
                    <a:ea typeface="+mn-ea"/>
                    <a:cs typeface="+mn-cs"/>
                  </a:rPr>
                  <a:t>ontrol node A</a:t>
                </a:r>
                <a:endParaRPr lang="da-DK">
                  <a:effectLst/>
                </a:endParaRPr>
              </a:p>
              <a:p>
                <a:endParaRPr lang="da-DK" sz="1100"/>
              </a:p>
            </xdr:txBody>
          </xdr:sp>
          <xdr:sp macro="" textlink="">
            <xdr:nvSpPr>
              <xdr:cNvPr id="20" name="Tekstfelt 19">
                <a:extLst>
                  <a:ext uri="{FF2B5EF4-FFF2-40B4-BE49-F238E27FC236}">
                    <a16:creationId xmlns:a16="http://schemas.microsoft.com/office/drawing/2014/main" id="{9883DE93-3FEA-4125-8B6D-FD01FBA39FA3}"/>
                  </a:ext>
                </a:extLst>
              </xdr:cNvPr>
              <xdr:cNvSpPr txBox="1"/>
            </xdr:nvSpPr>
            <xdr:spPr>
              <a:xfrm>
                <a:off x="10220325" y="409575"/>
                <a:ext cx="1266826" cy="438149"/>
              </a:xfrm>
              <a:prstGeom prst="rect">
                <a:avLst/>
              </a:prstGeom>
              <a:solidFill>
                <a:schemeClr val="lt1"/>
              </a:solidFill>
              <a:ln w="9525" cmpd="sng">
                <a:solidFill>
                  <a:schemeClr val="lt1">
                    <a:shade val="50000"/>
                  </a:schemeClr>
                </a:solidFill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r>
                  <a:rPr lang="da-DK" sz="1100"/>
                  <a:t>Downstream node</a:t>
                </a:r>
              </a:p>
              <a:p>
                <a:r>
                  <a:rPr lang="da-DK" sz="1100"/>
                  <a:t>- control node C</a:t>
                </a:r>
              </a:p>
            </xdr:txBody>
          </xdr:sp>
          <xdr:sp macro="" textlink="">
            <xdr:nvSpPr>
              <xdr:cNvPr id="21" name="Tekstfelt 20">
                <a:extLst>
                  <a:ext uri="{FF2B5EF4-FFF2-40B4-BE49-F238E27FC236}">
                    <a16:creationId xmlns:a16="http://schemas.microsoft.com/office/drawing/2014/main" id="{7BB9247D-36A0-47E8-903F-0CCDC2B5852B}"/>
                  </a:ext>
                </a:extLst>
              </xdr:cNvPr>
              <xdr:cNvSpPr txBox="1"/>
            </xdr:nvSpPr>
            <xdr:spPr>
              <a:xfrm>
                <a:off x="6076949" y="1524000"/>
                <a:ext cx="2047876" cy="438151"/>
              </a:xfrm>
              <a:prstGeom prst="rect">
                <a:avLst/>
              </a:prstGeom>
              <a:solidFill>
                <a:schemeClr val="lt1"/>
              </a:solidFill>
              <a:ln w="9525" cmpd="sng">
                <a:solidFill>
                  <a:schemeClr val="lt1">
                    <a:shade val="50000"/>
                  </a:schemeClr>
                </a:solidFill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r>
                  <a:rPr lang="da-DK" sz="1100"/>
                  <a:t>Filling</a:t>
                </a:r>
                <a:r>
                  <a:rPr lang="da-DK" sz="1100" baseline="0"/>
                  <a:t> with dH.-regulation</a:t>
                </a:r>
              </a:p>
              <a:p>
                <a:pPr algn="l"/>
                <a:r>
                  <a:rPr lang="da-DK" sz="1100" baseline="0"/>
                  <a:t>based on control node A and B</a:t>
                </a:r>
                <a:endParaRPr lang="da-DK" sz="1100"/>
              </a:p>
            </xdr:txBody>
          </xdr:sp>
          <xdr:cxnSp macro="">
            <xdr:nvCxnSpPr>
              <xdr:cNvPr id="22" name="Lige pilforbindelse 21">
                <a:extLst>
                  <a:ext uri="{FF2B5EF4-FFF2-40B4-BE49-F238E27FC236}">
                    <a16:creationId xmlns:a16="http://schemas.microsoft.com/office/drawing/2014/main" id="{630D3A73-1A2A-44AC-A768-06176AF58313}"/>
                  </a:ext>
                </a:extLst>
              </xdr:cNvPr>
              <xdr:cNvCxnSpPr/>
            </xdr:nvCxnSpPr>
            <xdr:spPr>
              <a:xfrm flipV="1">
                <a:off x="7167562" y="1200150"/>
                <a:ext cx="357187" cy="304800"/>
              </a:xfrm>
              <a:prstGeom prst="straightConnector1">
                <a:avLst/>
              </a:prstGeom>
              <a:ln>
                <a:tailEnd type="triangle"/>
              </a:ln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</xdr:grpSp>
        <xdr:grpSp>
          <xdr:nvGrpSpPr>
            <xdr:cNvPr id="45" name="Gruppe 44">
              <a:extLst>
                <a:ext uri="{FF2B5EF4-FFF2-40B4-BE49-F238E27FC236}">
                  <a16:creationId xmlns:a16="http://schemas.microsoft.com/office/drawing/2014/main" id="{16A79468-9750-4A9C-82F9-4197A3275B64}"/>
                </a:ext>
              </a:extLst>
            </xdr:cNvPr>
            <xdr:cNvGrpSpPr/>
          </xdr:nvGrpSpPr>
          <xdr:grpSpPr>
            <a:xfrm>
              <a:off x="9464291" y="915865"/>
              <a:ext cx="2589405" cy="770060"/>
              <a:chOff x="9464291" y="915865"/>
              <a:chExt cx="2589405" cy="770060"/>
            </a:xfrm>
          </xdr:grpSpPr>
          <xdr:cxnSp macro="">
            <xdr:nvCxnSpPr>
              <xdr:cNvPr id="27" name="Lige pilforbindelse 26">
                <a:extLst>
                  <a:ext uri="{FF2B5EF4-FFF2-40B4-BE49-F238E27FC236}">
                    <a16:creationId xmlns:a16="http://schemas.microsoft.com/office/drawing/2014/main" id="{2122D5B6-6F35-4332-923A-E4291348B9ED}"/>
                  </a:ext>
                </a:extLst>
              </xdr:cNvPr>
              <xdr:cNvCxnSpPr>
                <a:cxnSpLocks/>
              </xdr:cNvCxnSpPr>
            </xdr:nvCxnSpPr>
            <xdr:spPr>
              <a:xfrm flipH="1">
                <a:off x="9951183" y="915865"/>
                <a:ext cx="435603" cy="770060"/>
              </a:xfrm>
              <a:prstGeom prst="straightConnector1">
                <a:avLst/>
              </a:prstGeom>
              <a:ln>
                <a:tailEnd type="triangle"/>
              </a:ln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  <xdr:cxnSp macro="">
            <xdr:nvCxnSpPr>
              <xdr:cNvPr id="39" name="Lige pilforbindelse 38">
                <a:extLst>
                  <a:ext uri="{FF2B5EF4-FFF2-40B4-BE49-F238E27FC236}">
                    <a16:creationId xmlns:a16="http://schemas.microsoft.com/office/drawing/2014/main" id="{5C75C01A-BB0F-4B4C-AD38-E948FBF424DE}"/>
                  </a:ext>
                </a:extLst>
              </xdr:cNvPr>
              <xdr:cNvCxnSpPr/>
            </xdr:nvCxnSpPr>
            <xdr:spPr>
              <a:xfrm flipV="1">
                <a:off x="9464291" y="1472713"/>
                <a:ext cx="2589405" cy="23813"/>
              </a:xfrm>
              <a:prstGeom prst="straightConnector1">
                <a:avLst/>
              </a:prstGeom>
              <a:ln w="38100">
                <a:solidFill>
                  <a:schemeClr val="tx1">
                    <a:lumMod val="95000"/>
                    <a:lumOff val="5000"/>
                  </a:schemeClr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sp macro="" textlink="">
            <xdr:nvSpPr>
              <xdr:cNvPr id="40" name="Tekstfelt 39">
                <a:extLst>
                  <a:ext uri="{FF2B5EF4-FFF2-40B4-BE49-F238E27FC236}">
                    <a16:creationId xmlns:a16="http://schemas.microsoft.com/office/drawing/2014/main" id="{5B2086B0-DC0C-47AC-8623-810E82BB0016}"/>
                  </a:ext>
                </a:extLst>
              </xdr:cNvPr>
              <xdr:cNvSpPr txBox="1"/>
            </xdr:nvSpPr>
            <xdr:spPr>
              <a:xfrm>
                <a:off x="10368610" y="1207199"/>
                <a:ext cx="1047783" cy="190500"/>
              </a:xfrm>
              <a:prstGeom prst="rect">
                <a:avLst/>
              </a:prstGeom>
              <a:solidFill>
                <a:schemeClr val="lt1"/>
              </a:solidFill>
              <a:ln w="9525" cmpd="sng">
                <a:solidFill>
                  <a:schemeClr val="lt1">
                    <a:shade val="50000"/>
                  </a:schemeClr>
                </a:solidFill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r>
                  <a:rPr lang="da-DK" sz="900"/>
                  <a:t>sewage link/weir</a:t>
                </a:r>
              </a:p>
            </xdr:txBody>
          </xdr:sp>
          <xdr:cxnSp macro="">
            <xdr:nvCxnSpPr>
              <xdr:cNvPr id="42" name="Lige pilforbindelse 41">
                <a:extLst>
                  <a:ext uri="{FF2B5EF4-FFF2-40B4-BE49-F238E27FC236}">
                    <a16:creationId xmlns:a16="http://schemas.microsoft.com/office/drawing/2014/main" id="{28759183-9C4E-4537-A26A-D88E5C8FEE60}"/>
                  </a:ext>
                </a:extLst>
              </xdr:cNvPr>
              <xdr:cNvCxnSpPr>
                <a:cxnSpLocks/>
              </xdr:cNvCxnSpPr>
            </xdr:nvCxnSpPr>
            <xdr:spPr>
              <a:xfrm>
                <a:off x="11602357" y="923192"/>
                <a:ext cx="170717" cy="724633"/>
              </a:xfrm>
              <a:prstGeom prst="straightConnector1">
                <a:avLst/>
              </a:prstGeom>
              <a:ln>
                <a:tailEnd type="triangle"/>
              </a:ln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</xdr:grpSp>
      </xdr:grp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266700</xdr:colOff>
      <xdr:row>3</xdr:row>
      <xdr:rowOff>95249</xdr:rowOff>
    </xdr:from>
    <xdr:to>
      <xdr:col>8</xdr:col>
      <xdr:colOff>342900</xdr:colOff>
      <xdr:row>6</xdr:row>
      <xdr:rowOff>114299</xdr:rowOff>
    </xdr:to>
    <xdr:sp macro="" textlink="">
      <xdr:nvSpPr>
        <xdr:cNvPr id="10" name="Ellipse 9">
          <a:extLst>
            <a:ext uri="{FF2B5EF4-FFF2-40B4-BE49-F238E27FC236}">
              <a16:creationId xmlns:a16="http://schemas.microsoft.com/office/drawing/2014/main" id="{285C1165-E861-4F58-9DB3-90D06ECD5C79}"/>
            </a:ext>
          </a:extLst>
        </xdr:cNvPr>
        <xdr:cNvSpPr/>
      </xdr:nvSpPr>
      <xdr:spPr>
        <a:xfrm>
          <a:off x="8162925" y="666749"/>
          <a:ext cx="685800" cy="59055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a-DK" sz="1100"/>
        </a:p>
      </xdr:txBody>
    </xdr:sp>
    <xdr:clientData/>
  </xdr:twoCellAnchor>
  <xdr:twoCellAnchor>
    <xdr:from>
      <xdr:col>7</xdr:col>
      <xdr:colOff>28575</xdr:colOff>
      <xdr:row>0</xdr:row>
      <xdr:rowOff>161926</xdr:rowOff>
    </xdr:from>
    <xdr:to>
      <xdr:col>9</xdr:col>
      <xdr:colOff>95250</xdr:colOff>
      <xdr:row>3</xdr:row>
      <xdr:rowOff>47626</xdr:rowOff>
    </xdr:to>
    <xdr:sp macro="" textlink="">
      <xdr:nvSpPr>
        <xdr:cNvPr id="12" name="Tekstfelt 11">
          <a:extLst>
            <a:ext uri="{FF2B5EF4-FFF2-40B4-BE49-F238E27FC236}">
              <a16:creationId xmlns:a16="http://schemas.microsoft.com/office/drawing/2014/main" id="{7A5B7FF7-B71E-441C-8150-2C899A31574C}"/>
            </a:ext>
          </a:extLst>
        </xdr:cNvPr>
        <xdr:cNvSpPr txBox="1"/>
      </xdr:nvSpPr>
      <xdr:spPr>
        <a:xfrm>
          <a:off x="7924800" y="161926"/>
          <a:ext cx="1285875" cy="457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/>
            <a:t>Rockflow magazine with infiltration</a:t>
          </a:r>
        </a:p>
      </xdr:txBody>
    </xdr:sp>
    <xdr:clientData/>
  </xdr:twoCellAnchor>
  <xdr:twoCellAnchor>
    <xdr:from>
      <xdr:col>5</xdr:col>
      <xdr:colOff>304800</xdr:colOff>
      <xdr:row>4</xdr:row>
      <xdr:rowOff>85725</xdr:rowOff>
    </xdr:from>
    <xdr:to>
      <xdr:col>5</xdr:col>
      <xdr:colOff>571500</xdr:colOff>
      <xdr:row>5</xdr:row>
      <xdr:rowOff>114300</xdr:rowOff>
    </xdr:to>
    <xdr:sp macro="" textlink="">
      <xdr:nvSpPr>
        <xdr:cNvPr id="13" name="Ellipse 12">
          <a:extLst>
            <a:ext uri="{FF2B5EF4-FFF2-40B4-BE49-F238E27FC236}">
              <a16:creationId xmlns:a16="http://schemas.microsoft.com/office/drawing/2014/main" id="{7B4ABC86-83A7-47F8-BC39-C0BC24367E08}"/>
            </a:ext>
          </a:extLst>
        </xdr:cNvPr>
        <xdr:cNvSpPr/>
      </xdr:nvSpPr>
      <xdr:spPr>
        <a:xfrm>
          <a:off x="6981825" y="847725"/>
          <a:ext cx="266700" cy="21907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a-DK" sz="1100"/>
        </a:p>
      </xdr:txBody>
    </xdr:sp>
    <xdr:clientData/>
  </xdr:twoCellAnchor>
  <xdr:twoCellAnchor>
    <xdr:from>
      <xdr:col>6</xdr:col>
      <xdr:colOff>152401</xdr:colOff>
      <xdr:row>5</xdr:row>
      <xdr:rowOff>114300</xdr:rowOff>
    </xdr:from>
    <xdr:to>
      <xdr:col>6</xdr:col>
      <xdr:colOff>590551</xdr:colOff>
      <xdr:row>6</xdr:row>
      <xdr:rowOff>190499</xdr:rowOff>
    </xdr:to>
    <xdr:sp macro="" textlink="">
      <xdr:nvSpPr>
        <xdr:cNvPr id="14" name="Tekstfelt 13">
          <a:extLst>
            <a:ext uri="{FF2B5EF4-FFF2-40B4-BE49-F238E27FC236}">
              <a16:creationId xmlns:a16="http://schemas.microsoft.com/office/drawing/2014/main" id="{9D4706F9-1396-4105-9DFD-927B81C570D6}"/>
            </a:ext>
          </a:extLst>
        </xdr:cNvPr>
        <xdr:cNvSpPr txBox="1"/>
      </xdr:nvSpPr>
      <xdr:spPr>
        <a:xfrm>
          <a:off x="7439026" y="1066800"/>
          <a:ext cx="438150" cy="2666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/>
            <a:t>Link</a:t>
          </a:r>
        </a:p>
      </xdr:txBody>
    </xdr:sp>
    <xdr:clientData/>
  </xdr:twoCellAnchor>
  <xdr:twoCellAnchor>
    <xdr:from>
      <xdr:col>4</xdr:col>
      <xdr:colOff>504825</xdr:colOff>
      <xdr:row>2</xdr:row>
      <xdr:rowOff>171450</xdr:rowOff>
    </xdr:from>
    <xdr:to>
      <xdr:col>6</xdr:col>
      <xdr:colOff>390525</xdr:colOff>
      <xdr:row>4</xdr:row>
      <xdr:rowOff>28575</xdr:rowOff>
    </xdr:to>
    <xdr:sp macro="" textlink="">
      <xdr:nvSpPr>
        <xdr:cNvPr id="15" name="Tekstfelt 14">
          <a:extLst>
            <a:ext uri="{FF2B5EF4-FFF2-40B4-BE49-F238E27FC236}">
              <a16:creationId xmlns:a16="http://schemas.microsoft.com/office/drawing/2014/main" id="{C30C7913-97AA-4535-B101-313A3FF493EE}"/>
            </a:ext>
          </a:extLst>
        </xdr:cNvPr>
        <xdr:cNvSpPr txBox="1"/>
      </xdr:nvSpPr>
      <xdr:spPr>
        <a:xfrm>
          <a:off x="6572250" y="552450"/>
          <a:ext cx="1104900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/>
            <a:t>Upstream node</a:t>
          </a:r>
        </a:p>
      </xdr:txBody>
    </xdr:sp>
    <xdr:clientData/>
  </xdr:twoCellAnchor>
  <xdr:twoCellAnchor>
    <xdr:from>
      <xdr:col>5</xdr:col>
      <xdr:colOff>571500</xdr:colOff>
      <xdr:row>5</xdr:row>
      <xdr:rowOff>0</xdr:rowOff>
    </xdr:from>
    <xdr:to>
      <xdr:col>7</xdr:col>
      <xdr:colOff>266700</xdr:colOff>
      <xdr:row>5</xdr:row>
      <xdr:rowOff>4762</xdr:rowOff>
    </xdr:to>
    <xdr:cxnSp macro="">
      <xdr:nvCxnSpPr>
        <xdr:cNvPr id="17" name="Lige pilforbindelse 16">
          <a:extLst>
            <a:ext uri="{FF2B5EF4-FFF2-40B4-BE49-F238E27FC236}">
              <a16:creationId xmlns:a16="http://schemas.microsoft.com/office/drawing/2014/main" id="{F53EB1A2-5A4A-460F-8591-9A85D3984AAD}"/>
            </a:ext>
          </a:extLst>
        </xdr:cNvPr>
        <xdr:cNvCxnSpPr>
          <a:stCxn id="13" idx="6"/>
          <a:endCxn id="10" idx="2"/>
        </xdr:cNvCxnSpPr>
      </xdr:nvCxnSpPr>
      <xdr:spPr>
        <a:xfrm>
          <a:off x="7248525" y="952500"/>
          <a:ext cx="914400" cy="4762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17</xdr:row>
      <xdr:rowOff>0</xdr:rowOff>
    </xdr:from>
    <xdr:to>
      <xdr:col>12</xdr:col>
      <xdr:colOff>592800</xdr:colOff>
      <xdr:row>33</xdr:row>
      <xdr:rowOff>12000</xdr:rowOff>
    </xdr:to>
    <xdr:graphicFrame macro="">
      <xdr:nvGraphicFramePr>
        <xdr:cNvPr id="19" name="Diagram 18">
          <a:extLst>
            <a:ext uri="{FF2B5EF4-FFF2-40B4-BE49-F238E27FC236}">
              <a16:creationId xmlns:a16="http://schemas.microsoft.com/office/drawing/2014/main" id="{97A4C81C-2D40-4390-A6E5-8376D18F0C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B9084F-0DA6-48EF-BEAA-493F0B8B53A4}">
  <dimension ref="A1:F54"/>
  <sheetViews>
    <sheetView tabSelected="1" topLeftCell="A4" zoomScaleNormal="100" workbookViewId="0">
      <selection activeCell="A22" sqref="A22"/>
    </sheetView>
  </sheetViews>
  <sheetFormatPr defaultRowHeight="15" x14ac:dyDescent="0.25"/>
  <cols>
    <col min="1" max="1" width="77" bestFit="1" customWidth="1"/>
    <col min="2" max="3" width="15.7109375" customWidth="1"/>
    <col min="4" max="4" width="10.7109375" customWidth="1"/>
    <col min="5" max="15" width="9.140625" customWidth="1"/>
  </cols>
  <sheetData>
    <row r="1" spans="1:6" ht="15" customHeight="1" x14ac:dyDescent="0.25">
      <c r="A1" s="27"/>
      <c r="B1" s="13"/>
      <c r="C1" s="13"/>
      <c r="D1" s="14"/>
    </row>
    <row r="2" spans="1:6" ht="15" customHeight="1" x14ac:dyDescent="0.35">
      <c r="A2" s="29" t="s">
        <v>9</v>
      </c>
      <c r="B2" s="26" t="s">
        <v>6</v>
      </c>
      <c r="C2" s="15"/>
      <c r="D2" s="16"/>
      <c r="F2" s="51" t="s">
        <v>46</v>
      </c>
    </row>
    <row r="3" spans="1:6" ht="15" customHeight="1" x14ac:dyDescent="0.25">
      <c r="A3" s="25" t="s">
        <v>27</v>
      </c>
      <c r="B3" s="59">
        <v>10</v>
      </c>
      <c r="C3" s="15"/>
      <c r="D3" s="16"/>
    </row>
    <row r="4" spans="1:6" ht="15" customHeight="1" x14ac:dyDescent="0.25">
      <c r="A4" s="25" t="s">
        <v>14</v>
      </c>
      <c r="B4" s="59">
        <v>10</v>
      </c>
      <c r="C4" s="15"/>
      <c r="D4" s="16"/>
    </row>
    <row r="5" spans="1:6" ht="15" customHeight="1" x14ac:dyDescent="0.25">
      <c r="A5" s="25" t="s">
        <v>15</v>
      </c>
      <c r="B5" s="59">
        <v>10</v>
      </c>
      <c r="C5" s="15"/>
      <c r="D5" s="16"/>
    </row>
    <row r="6" spans="1:6" ht="15" customHeight="1" x14ac:dyDescent="0.25">
      <c r="A6" s="25" t="s">
        <v>16</v>
      </c>
      <c r="B6" s="59">
        <v>11</v>
      </c>
      <c r="C6" s="15"/>
      <c r="D6" s="16"/>
    </row>
    <row r="7" spans="1:6" ht="15" customHeight="1" x14ac:dyDescent="0.25">
      <c r="A7" s="25" t="s">
        <v>58</v>
      </c>
      <c r="B7" s="59">
        <v>10</v>
      </c>
      <c r="C7" s="15"/>
      <c r="D7" s="16"/>
    </row>
    <row r="8" spans="1:6" ht="15" customHeight="1" x14ac:dyDescent="0.25">
      <c r="A8" s="25" t="s">
        <v>30</v>
      </c>
      <c r="B8" s="59">
        <v>10</v>
      </c>
      <c r="C8" s="15"/>
      <c r="D8" s="16"/>
    </row>
    <row r="9" spans="1:6" ht="15" customHeight="1" x14ac:dyDescent="0.25">
      <c r="A9" s="25" t="s">
        <v>31</v>
      </c>
      <c r="B9" s="59">
        <v>0.1</v>
      </c>
      <c r="C9" s="15"/>
      <c r="D9" s="16"/>
    </row>
    <row r="10" spans="1:6" ht="15" customHeight="1" thickBot="1" x14ac:dyDescent="0.3">
      <c r="A10" s="17"/>
      <c r="B10" s="17"/>
      <c r="C10" s="17"/>
      <c r="D10" s="18"/>
    </row>
    <row r="11" spans="1:6" ht="15" customHeight="1" x14ac:dyDescent="0.25">
      <c r="A11" s="6"/>
      <c r="B11" s="3"/>
      <c r="C11" s="3"/>
      <c r="D11" s="4"/>
    </row>
    <row r="12" spans="1:6" ht="15" customHeight="1" x14ac:dyDescent="0.3">
      <c r="A12" s="39" t="s">
        <v>28</v>
      </c>
      <c r="B12" s="6"/>
      <c r="C12" s="6"/>
      <c r="D12" s="9"/>
    </row>
    <row r="13" spans="1:6" ht="15" customHeight="1" x14ac:dyDescent="0.25">
      <c r="A13" s="2" t="s">
        <v>7</v>
      </c>
      <c r="B13" s="6"/>
      <c r="C13" s="6"/>
      <c r="D13" s="9"/>
    </row>
    <row r="14" spans="1:6" ht="15" customHeight="1" x14ac:dyDescent="0.25">
      <c r="A14" s="1" t="s">
        <v>2</v>
      </c>
      <c r="B14" s="6"/>
      <c r="C14" s="6"/>
      <c r="D14" s="9"/>
    </row>
    <row r="15" spans="1:6" ht="15" customHeight="1" x14ac:dyDescent="0.25">
      <c r="A15" s="19" t="s">
        <v>0</v>
      </c>
      <c r="B15" s="19" t="s">
        <v>4</v>
      </c>
      <c r="C15" s="19" t="s">
        <v>5</v>
      </c>
      <c r="D15" s="9"/>
    </row>
    <row r="16" spans="1:6" ht="15" customHeight="1" x14ac:dyDescent="0.25">
      <c r="A16" s="19">
        <f>B5</f>
        <v>10</v>
      </c>
      <c r="B16" s="19">
        <v>0</v>
      </c>
      <c r="C16" s="20">
        <f>$B$3*$B$4</f>
        <v>100</v>
      </c>
      <c r="D16" s="9"/>
    </row>
    <row r="17" spans="1:4" ht="15" customHeight="1" x14ac:dyDescent="0.25">
      <c r="A17" s="19">
        <f>B6</f>
        <v>11</v>
      </c>
      <c r="B17" s="20">
        <f>B4*(B6-B5)</f>
        <v>10</v>
      </c>
      <c r="C17" s="20">
        <f>$B$3*$B$4</f>
        <v>100</v>
      </c>
      <c r="D17" s="9"/>
    </row>
    <row r="18" spans="1:4" ht="15" customHeight="1" x14ac:dyDescent="0.25">
      <c r="A18" s="5"/>
      <c r="B18" s="7"/>
      <c r="C18" s="7"/>
      <c r="D18" s="9"/>
    </row>
    <row r="19" spans="1:4" ht="15" customHeight="1" x14ac:dyDescent="0.25">
      <c r="A19" s="2" t="s">
        <v>12</v>
      </c>
      <c r="B19" s="7"/>
      <c r="C19" s="7"/>
      <c r="D19" s="8"/>
    </row>
    <row r="20" spans="1:4" ht="15" customHeight="1" x14ac:dyDescent="0.25">
      <c r="A20" s="34" t="s">
        <v>23</v>
      </c>
      <c r="B20" s="41" t="s">
        <v>25</v>
      </c>
      <c r="C20" s="7"/>
      <c r="D20" s="8"/>
    </row>
    <row r="21" spans="1:4" ht="15" customHeight="1" x14ac:dyDescent="0.25">
      <c r="A21" s="45" t="s">
        <v>24</v>
      </c>
      <c r="B21" s="31"/>
      <c r="C21" s="7"/>
      <c r="D21" s="8"/>
    </row>
    <row r="22" spans="1:4" ht="15" customHeight="1" x14ac:dyDescent="0.25">
      <c r="A22" s="34" t="s">
        <v>20</v>
      </c>
      <c r="B22" s="60">
        <v>0.95</v>
      </c>
      <c r="C22" s="7"/>
      <c r="D22" s="8"/>
    </row>
    <row r="23" spans="1:4" ht="15" customHeight="1" x14ac:dyDescent="0.25">
      <c r="A23" s="34" t="s">
        <v>19</v>
      </c>
      <c r="B23" s="30">
        <f>B5+0*(B6-B5)</f>
        <v>10</v>
      </c>
      <c r="C23" s="7"/>
      <c r="D23" s="8"/>
    </row>
    <row r="24" spans="1:4" ht="15" customHeight="1" x14ac:dyDescent="0.25">
      <c r="A24" s="45" t="s">
        <v>18</v>
      </c>
      <c r="B24" s="46"/>
      <c r="C24" s="7"/>
      <c r="D24" s="8"/>
    </row>
    <row r="25" spans="1:4" ht="15" customHeight="1" x14ac:dyDescent="0.25">
      <c r="A25" s="44" t="s">
        <v>26</v>
      </c>
      <c r="B25" s="47"/>
      <c r="C25" s="7"/>
      <c r="D25" s="8"/>
    </row>
    <row r="26" spans="1:4" ht="15" customHeight="1" x14ac:dyDescent="0.25">
      <c r="A26" s="5"/>
      <c r="B26" s="7"/>
      <c r="C26" s="7"/>
      <c r="D26" s="8"/>
    </row>
    <row r="27" spans="1:4" ht="15.75" x14ac:dyDescent="0.25">
      <c r="A27" s="2" t="s">
        <v>37</v>
      </c>
      <c r="B27" s="48"/>
      <c r="C27" s="21"/>
      <c r="D27" s="8"/>
    </row>
    <row r="28" spans="1:4" ht="15.75" x14ac:dyDescent="0.25">
      <c r="A28" s="1" t="s">
        <v>1</v>
      </c>
      <c r="B28" s="48"/>
      <c r="C28" s="21"/>
      <c r="D28" s="8"/>
    </row>
    <row r="29" spans="1:4" ht="15.75" x14ac:dyDescent="0.25">
      <c r="A29" s="19" t="s">
        <v>0</v>
      </c>
      <c r="B29" s="19" t="s">
        <v>3</v>
      </c>
      <c r="C29" s="21"/>
      <c r="D29" s="8"/>
    </row>
    <row r="30" spans="1:4" ht="15.75" x14ac:dyDescent="0.25">
      <c r="A30" s="19">
        <f>B7</f>
        <v>10</v>
      </c>
      <c r="B30" s="49">
        <f>(parameters!$B$1/(24*60*60))*$B$8*$B$9+(A30-$B$7)*(parameters!$B$1/(24*60*60))/parameters!$B$3*($B$9*PI()*$B$8)</f>
        <v>2.488425925925926E-4</v>
      </c>
      <c r="C30" s="21"/>
      <c r="D30" s="8"/>
    </row>
    <row r="31" spans="1:4" ht="15.75" x14ac:dyDescent="0.25">
      <c r="A31" s="19">
        <f>A47</f>
        <v>16</v>
      </c>
      <c r="B31" s="49">
        <f>(parameters!$B$1/(24*60*60))*$B$8*$B$9+(A31-$B$7)*(parameters!$B$1/(24*60*60))/parameters!$B$3*($B$9*PI()*$B$8)</f>
        <v>6.7257019231660609E-2</v>
      </c>
      <c r="C31" s="21"/>
      <c r="D31" s="8"/>
    </row>
    <row r="32" spans="1:4" ht="15" customHeight="1" x14ac:dyDescent="0.25">
      <c r="A32" s="7"/>
      <c r="B32" s="7"/>
      <c r="C32" s="7"/>
      <c r="D32" s="8"/>
    </row>
    <row r="33" spans="1:4" ht="15" customHeight="1" x14ac:dyDescent="0.25">
      <c r="A33" s="2" t="s">
        <v>35</v>
      </c>
      <c r="B33" s="6"/>
      <c r="C33" s="7"/>
      <c r="D33" s="8"/>
    </row>
    <row r="34" spans="1:4" ht="15" customHeight="1" x14ac:dyDescent="0.25">
      <c r="A34" s="1" t="s">
        <v>1</v>
      </c>
      <c r="B34" s="6"/>
      <c r="C34" s="7"/>
      <c r="D34" s="8"/>
    </row>
    <row r="35" spans="1:4" ht="15" customHeight="1" x14ac:dyDescent="0.25">
      <c r="A35" s="19" t="s">
        <v>0</v>
      </c>
      <c r="B35" s="19" t="s">
        <v>3</v>
      </c>
      <c r="C35" s="7"/>
      <c r="D35" s="8"/>
    </row>
    <row r="36" spans="1:4" ht="15" customHeight="1" x14ac:dyDescent="0.25">
      <c r="A36" s="19">
        <f>($B$6-$B$5)*0+$B$5</f>
        <v>10</v>
      </c>
      <c r="B36" s="53">
        <v>0</v>
      </c>
      <c r="C36" s="7"/>
      <c r="D36" s="8"/>
    </row>
    <row r="37" spans="1:4" ht="15" customHeight="1" x14ac:dyDescent="0.25">
      <c r="A37" s="19">
        <f>($B$6-$B$5)*0.1+$B$5</f>
        <v>10.1</v>
      </c>
      <c r="B37" s="53">
        <f>(parameters!$B$2/(60*60*24))*$B$3*$B$4*((A37-$B$5)/($B$6-$B$5))^parameters!$B$4</f>
        <v>3.9626408180093111E-4</v>
      </c>
      <c r="C37" s="7"/>
      <c r="D37" s="8"/>
    </row>
    <row r="38" spans="1:4" ht="15" customHeight="1" x14ac:dyDescent="0.25">
      <c r="A38" s="19">
        <f>($B$6-$B$5)*0.2+$B$5</f>
        <v>10.199999999999999</v>
      </c>
      <c r="B38" s="53">
        <f>(parameters!$B$2/(60*60*24))*$B$3*$B$4*((A38-$B$5)/($B$6-$B$5))^parameters!$B$4</f>
        <v>2.0914943627659459E-3</v>
      </c>
      <c r="C38" s="7"/>
      <c r="D38" s="8"/>
    </row>
    <row r="39" spans="1:4" ht="15" customHeight="1" x14ac:dyDescent="0.25">
      <c r="A39" s="19">
        <f>($B$6-$B$5)*0.3+$B$5</f>
        <v>10.3</v>
      </c>
      <c r="B39" s="53">
        <f>(parameters!$B$2/(60*60*24))*$B$3*$B$4*((A39-$B$5)/($B$6-$B$5))^parameters!$B$4</f>
        <v>5.534465952999763E-3</v>
      </c>
      <c r="C39" s="7"/>
      <c r="D39" s="8"/>
    </row>
    <row r="40" spans="1:4" ht="15" customHeight="1" x14ac:dyDescent="0.25">
      <c r="A40" s="19">
        <f>($B$6-$B$5)*0.4+$B$5</f>
        <v>10.4</v>
      </c>
      <c r="B40" s="53">
        <f>(parameters!$B$2/(60*60*24))*$B$3*$B$4*((A40-$B$5)/($B$6-$B$5))^parameters!$B$4</f>
        <v>1.1038973428026429E-2</v>
      </c>
      <c r="C40" s="7"/>
      <c r="D40" s="8"/>
    </row>
    <row r="41" spans="1:4" ht="15" customHeight="1" x14ac:dyDescent="0.25">
      <c r="A41" s="19">
        <f>($B$6-$B$5)*0.5+$B$5</f>
        <v>10.5</v>
      </c>
      <c r="B41" s="53">
        <f>(parameters!$B$2/(60*60*24))*$B$3*$B$4*((A41-$B$5)/($B$6-$B$5))^parameters!$B$4</f>
        <v>1.8858742002299513E-2</v>
      </c>
      <c r="C41" s="7"/>
      <c r="D41" s="8"/>
    </row>
    <row r="42" spans="1:4" ht="15" customHeight="1" x14ac:dyDescent="0.25">
      <c r="A42" s="19">
        <f>($B$6-$B$5)*0.6+$B$5</f>
        <v>10.6</v>
      </c>
      <c r="B42" s="53">
        <f>(parameters!$B$2/(60*60*24))*$B$3*$B$4*((A42-$B$5)/($B$6-$B$5))^parameters!$B$4</f>
        <v>2.9211086427545524E-2</v>
      </c>
      <c r="C42" s="7"/>
      <c r="D42" s="8"/>
    </row>
    <row r="43" spans="1:4" ht="15" customHeight="1" x14ac:dyDescent="0.25">
      <c r="A43" s="20">
        <f>(B6-B5)*0.7+B5</f>
        <v>10.7</v>
      </c>
      <c r="B43" s="53">
        <f>(parameters!$B$2/(60*60*24))*$B$3*$B$4*((A43-$B$5)/($B$6-$B$5))^parameters!$B$4</f>
        <v>4.2288278387755153E-2</v>
      </c>
      <c r="C43" s="7"/>
      <c r="D43" s="8"/>
    </row>
    <row r="44" spans="1:4" ht="15" customHeight="1" x14ac:dyDescent="0.25">
      <c r="A44" s="19">
        <f>(B6-B5)*0.8+B5</f>
        <v>10.8</v>
      </c>
      <c r="B44" s="53">
        <f>(parameters!$B$2/(60*60*24))*$B$3*$B$4*((A44-$B$5)/($B$6-$B$5))^parameters!$B$4</f>
        <v>5.8264051060370588E-2</v>
      </c>
      <c r="C44" s="7"/>
      <c r="D44" s="8"/>
    </row>
    <row r="45" spans="1:4" ht="15" customHeight="1" x14ac:dyDescent="0.25">
      <c r="A45" s="19">
        <f>(B6-B5)*0.9+B5</f>
        <v>10.9</v>
      </c>
      <c r="B45" s="53">
        <f>(parameters!$B$2/(60*60*24))*$B$3*$B$4*((A45-$B$5)/($B$6-$B$5))^parameters!$B$4</f>
        <v>7.7297728438331062E-2</v>
      </c>
      <c r="C45" s="7"/>
      <c r="D45" s="8"/>
    </row>
    <row r="46" spans="1:4" ht="15" customHeight="1" x14ac:dyDescent="0.25">
      <c r="A46" s="19">
        <f>B6</f>
        <v>11</v>
      </c>
      <c r="B46" s="53">
        <f>(parameters!$B$2/(60*60*24))*$B$3*$B$4*((A46-$B$5)/($B$6-$B$5))^parameters!$B$4</f>
        <v>9.9537037037037035E-2</v>
      </c>
      <c r="C46" s="7"/>
      <c r="D46" s="8"/>
    </row>
    <row r="47" spans="1:4" ht="15" customHeight="1" x14ac:dyDescent="0.25">
      <c r="A47" s="19">
        <f>A46+5</f>
        <v>16</v>
      </c>
      <c r="B47" s="53">
        <f>(parameters!$B$2/(60*60*24))*$B$3*$B$4*(1)^parameters!$B$4+(A47-$B$6)/((($B$6-$B$5)/(parameters!$B$2/(24*60*60))/($B$3*$B$4))+(parameters!$B$3/(parameters!$B$1/(24*60*60))/($B$8*($B$9+parameters!$B$3)*PI())))</f>
        <v>0.17925913069080562</v>
      </c>
      <c r="C47" s="7"/>
      <c r="D47" s="8"/>
    </row>
    <row r="48" spans="1:4" ht="15" customHeight="1" x14ac:dyDescent="0.25">
      <c r="A48" s="5"/>
      <c r="B48" s="7"/>
      <c r="C48" s="7"/>
      <c r="D48" s="8"/>
    </row>
    <row r="49" spans="1:4" ht="15" customHeight="1" x14ac:dyDescent="0.25">
      <c r="A49" s="2" t="s">
        <v>36</v>
      </c>
      <c r="B49" s="6"/>
      <c r="C49" s="7"/>
      <c r="D49" s="8"/>
    </row>
    <row r="50" spans="1:4" ht="15" customHeight="1" x14ac:dyDescent="0.25">
      <c r="A50" s="1" t="s">
        <v>33</v>
      </c>
      <c r="B50" s="6"/>
      <c r="C50" s="7"/>
      <c r="D50" s="8"/>
    </row>
    <row r="51" spans="1:4" ht="15.75" x14ac:dyDescent="0.25">
      <c r="A51" s="19" t="s">
        <v>34</v>
      </c>
      <c r="B51" s="19" t="s">
        <v>32</v>
      </c>
      <c r="C51" s="7"/>
      <c r="D51" s="8"/>
    </row>
    <row r="52" spans="1:4" ht="15.75" x14ac:dyDescent="0.25">
      <c r="A52" s="19">
        <v>0</v>
      </c>
      <c r="B52" s="19">
        <f>A52/((($B$6-$B$5)/(parameters!$B$2/(24*60*60))/($B$3*$B$4))+(parameters!$B$3/(parameters!$B$1/(24*60*60))/($B$8*($B$9+parameters!$B$3)*PI())))</f>
        <v>0</v>
      </c>
      <c r="C52" s="7"/>
      <c r="D52" s="8"/>
    </row>
    <row r="53" spans="1:4" ht="15.75" x14ac:dyDescent="0.25">
      <c r="A53" s="19">
        <v>6</v>
      </c>
      <c r="B53" s="52">
        <f>A53/((($B$6-$B$5)/(parameters!$B$2/(24*60*60))/($B$3*$B$4))+(parameters!$B$3/(parameters!$B$1/(24*60*60))/($B$8*($B$9+parameters!$B$3)*PI())))</f>
        <v>9.5666512384522312E-2</v>
      </c>
      <c r="C53" s="7"/>
      <c r="D53" s="8"/>
    </row>
    <row r="54" spans="1:4" ht="16.5" thickBot="1" x14ac:dyDescent="0.3">
      <c r="A54" s="10"/>
      <c r="B54" s="11"/>
      <c r="C54" s="11"/>
      <c r="D54" s="12"/>
    </row>
  </sheetData>
  <sheetProtection algorithmName="SHA-512" hashValue="uQg7Vu7cV2+lecWXvrl/5A7kIV+cudwDvXJPf+sicv0lgPcXTLsRx1qgWm0JlsWJKntLKo8qfaBnzorR3u4qRg==" saltValue="7NdRWvR/NvHljKpDhAv80Q==" spinCount="100000" sheet="1" objects="1" scenarios="1"/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3296E1-D2A5-4CB8-BA36-9DFF3AEFB542}">
  <dimension ref="A1:F59"/>
  <sheetViews>
    <sheetView zoomScale="105" zoomScaleNormal="130" workbookViewId="0">
      <selection activeCell="B18" sqref="B18"/>
    </sheetView>
  </sheetViews>
  <sheetFormatPr defaultRowHeight="15" x14ac:dyDescent="0.25"/>
  <cols>
    <col min="1" max="1" width="81.5703125" bestFit="1" customWidth="1"/>
    <col min="2" max="3" width="15.7109375" customWidth="1"/>
    <col min="4" max="4" width="10.7109375" customWidth="1"/>
    <col min="5" max="15" width="9.140625" customWidth="1"/>
  </cols>
  <sheetData>
    <row r="1" spans="1:6" ht="15" customHeight="1" x14ac:dyDescent="0.25">
      <c r="A1" s="27"/>
      <c r="B1" s="13"/>
      <c r="C1" s="13"/>
      <c r="D1" s="14"/>
    </row>
    <row r="2" spans="1:6" ht="15" customHeight="1" x14ac:dyDescent="0.35">
      <c r="A2" s="29" t="s">
        <v>9</v>
      </c>
      <c r="B2" s="26" t="s">
        <v>6</v>
      </c>
      <c r="C2" s="15"/>
      <c r="D2" s="16"/>
      <c r="F2" s="51" t="s">
        <v>47</v>
      </c>
    </row>
    <row r="3" spans="1:6" ht="15" customHeight="1" x14ac:dyDescent="0.25">
      <c r="A3" s="25" t="s">
        <v>27</v>
      </c>
      <c r="B3" s="59">
        <v>10</v>
      </c>
      <c r="C3" s="15"/>
      <c r="D3" s="16"/>
    </row>
    <row r="4" spans="1:6" ht="15" customHeight="1" x14ac:dyDescent="0.25">
      <c r="A4" s="25" t="s">
        <v>14</v>
      </c>
      <c r="B4" s="59">
        <v>10</v>
      </c>
      <c r="C4" s="15"/>
      <c r="D4" s="16"/>
    </row>
    <row r="5" spans="1:6" ht="15" customHeight="1" x14ac:dyDescent="0.25">
      <c r="A5" s="25" t="s">
        <v>15</v>
      </c>
      <c r="B5" s="59">
        <v>10</v>
      </c>
      <c r="C5" s="15"/>
      <c r="D5" s="16"/>
    </row>
    <row r="6" spans="1:6" ht="15" customHeight="1" x14ac:dyDescent="0.25">
      <c r="A6" s="25" t="s">
        <v>16</v>
      </c>
      <c r="B6" s="59">
        <v>11</v>
      </c>
      <c r="C6" s="15"/>
      <c r="D6" s="16"/>
    </row>
    <row r="7" spans="1:6" ht="15" customHeight="1" x14ac:dyDescent="0.25">
      <c r="A7" s="25" t="s">
        <v>40</v>
      </c>
      <c r="B7" s="59">
        <v>10</v>
      </c>
      <c r="C7" s="15"/>
      <c r="D7" s="16"/>
    </row>
    <row r="8" spans="1:6" ht="15" customHeight="1" x14ac:dyDescent="0.25">
      <c r="A8" s="25" t="s">
        <v>52</v>
      </c>
      <c r="B8" s="59">
        <v>10</v>
      </c>
      <c r="C8" s="15"/>
      <c r="D8" s="16"/>
    </row>
    <row r="9" spans="1:6" ht="15" customHeight="1" x14ac:dyDescent="0.25">
      <c r="A9" s="25" t="s">
        <v>53</v>
      </c>
      <c r="B9" s="59">
        <v>10</v>
      </c>
      <c r="C9" s="15"/>
      <c r="D9" s="16"/>
    </row>
    <row r="10" spans="1:6" ht="15" customHeight="1" x14ac:dyDescent="0.25">
      <c r="A10" s="25" t="s">
        <v>54</v>
      </c>
      <c r="B10" s="59">
        <v>10</v>
      </c>
      <c r="C10" s="15"/>
      <c r="D10" s="16"/>
    </row>
    <row r="11" spans="1:6" ht="15" customHeight="1" x14ac:dyDescent="0.25">
      <c r="A11" s="25" t="s">
        <v>31</v>
      </c>
      <c r="B11" s="59">
        <v>0.1</v>
      </c>
      <c r="C11" s="15"/>
      <c r="D11" s="16"/>
    </row>
    <row r="12" spans="1:6" ht="15" customHeight="1" thickBot="1" x14ac:dyDescent="0.3">
      <c r="A12" s="17"/>
      <c r="B12" s="17"/>
      <c r="C12" s="17"/>
      <c r="D12" s="18"/>
    </row>
    <row r="13" spans="1:6" ht="15" customHeight="1" x14ac:dyDescent="0.25">
      <c r="A13" s="6"/>
      <c r="B13" s="3"/>
      <c r="C13" s="3"/>
      <c r="D13" s="4"/>
    </row>
    <row r="14" spans="1:6" ht="15" customHeight="1" x14ac:dyDescent="0.3">
      <c r="A14" s="39" t="s">
        <v>28</v>
      </c>
      <c r="B14" s="6"/>
      <c r="C14" s="6"/>
      <c r="D14" s="9"/>
    </row>
    <row r="15" spans="1:6" ht="15" customHeight="1" x14ac:dyDescent="0.25">
      <c r="A15" s="2" t="s">
        <v>7</v>
      </c>
      <c r="B15" s="6"/>
      <c r="C15" s="6"/>
      <c r="D15" s="9"/>
    </row>
    <row r="16" spans="1:6" ht="15" customHeight="1" x14ac:dyDescent="0.25">
      <c r="A16" s="1" t="s">
        <v>2</v>
      </c>
      <c r="B16" s="6"/>
      <c r="C16" s="6"/>
      <c r="D16" s="9"/>
    </row>
    <row r="17" spans="1:4" ht="15" customHeight="1" x14ac:dyDescent="0.25">
      <c r="A17" s="19" t="s">
        <v>0</v>
      </c>
      <c r="B17" s="19" t="s">
        <v>4</v>
      </c>
      <c r="C17" s="19" t="s">
        <v>5</v>
      </c>
      <c r="D17" s="9"/>
    </row>
    <row r="18" spans="1:4" ht="15" customHeight="1" x14ac:dyDescent="0.25">
      <c r="A18" s="19">
        <f>B5</f>
        <v>10</v>
      </c>
      <c r="B18" s="19">
        <v>0</v>
      </c>
      <c r="C18" s="20">
        <f>$B$3*$B$4</f>
        <v>100</v>
      </c>
      <c r="D18" s="9"/>
    </row>
    <row r="19" spans="1:4" ht="15" customHeight="1" x14ac:dyDescent="0.25">
      <c r="A19" s="19">
        <f>B6</f>
        <v>11</v>
      </c>
      <c r="B19" s="20">
        <f>B4*(B6-B5)</f>
        <v>10</v>
      </c>
      <c r="C19" s="20">
        <f>$B$3*$B$4</f>
        <v>100</v>
      </c>
      <c r="D19" s="9"/>
    </row>
    <row r="20" spans="1:4" ht="15" customHeight="1" x14ac:dyDescent="0.25">
      <c r="A20" s="5"/>
      <c r="B20" s="7"/>
      <c r="C20" s="7"/>
      <c r="D20" s="9"/>
    </row>
    <row r="21" spans="1:4" ht="15" customHeight="1" x14ac:dyDescent="0.25">
      <c r="A21" s="2" t="s">
        <v>12</v>
      </c>
      <c r="B21" s="7"/>
      <c r="C21" s="7"/>
      <c r="D21" s="8"/>
    </row>
    <row r="22" spans="1:4" ht="15" customHeight="1" x14ac:dyDescent="0.25">
      <c r="A22" s="34" t="s">
        <v>23</v>
      </c>
      <c r="B22" s="41" t="s">
        <v>25</v>
      </c>
      <c r="C22" s="7"/>
      <c r="D22" s="8"/>
    </row>
    <row r="23" spans="1:4" ht="15" customHeight="1" x14ac:dyDescent="0.25">
      <c r="A23" s="45" t="s">
        <v>24</v>
      </c>
      <c r="B23" s="31"/>
      <c r="C23" s="7"/>
      <c r="D23" s="8"/>
    </row>
    <row r="24" spans="1:4" ht="15" customHeight="1" x14ac:dyDescent="0.25">
      <c r="A24" s="34" t="s">
        <v>20</v>
      </c>
      <c r="B24" s="60">
        <v>0.95</v>
      </c>
      <c r="C24" s="7"/>
      <c r="D24" s="8"/>
    </row>
    <row r="25" spans="1:4" ht="15" customHeight="1" x14ac:dyDescent="0.25">
      <c r="A25" s="34" t="s">
        <v>19</v>
      </c>
      <c r="B25" s="30">
        <f>B5+0*(B6-B5)</f>
        <v>10</v>
      </c>
      <c r="C25" s="7"/>
      <c r="D25" s="8"/>
    </row>
    <row r="26" spans="1:4" ht="15" customHeight="1" x14ac:dyDescent="0.25">
      <c r="A26" s="45" t="s">
        <v>18</v>
      </c>
      <c r="B26" s="46"/>
      <c r="C26" s="7"/>
      <c r="D26" s="8"/>
    </row>
    <row r="27" spans="1:4" ht="15" customHeight="1" x14ac:dyDescent="0.25">
      <c r="A27" s="44" t="s">
        <v>26</v>
      </c>
      <c r="B27" s="47"/>
      <c r="C27" s="7"/>
      <c r="D27" s="8"/>
    </row>
    <row r="28" spans="1:4" ht="15" customHeight="1" x14ac:dyDescent="0.25">
      <c r="A28" s="5"/>
      <c r="B28" s="7"/>
      <c r="C28" s="7"/>
      <c r="D28" s="8"/>
    </row>
    <row r="29" spans="1:4" ht="15.75" x14ac:dyDescent="0.25">
      <c r="A29" s="2" t="s">
        <v>48</v>
      </c>
      <c r="B29" s="48"/>
      <c r="C29" s="21"/>
      <c r="D29" s="8"/>
    </row>
    <row r="30" spans="1:4" ht="15.75" x14ac:dyDescent="0.25">
      <c r="A30" s="1" t="s">
        <v>55</v>
      </c>
      <c r="B30" s="48"/>
      <c r="C30" s="21"/>
      <c r="D30" s="8"/>
    </row>
    <row r="31" spans="1:4" ht="15.75" x14ac:dyDescent="0.25">
      <c r="A31" s="19" t="s">
        <v>34</v>
      </c>
      <c r="B31" s="19" t="s">
        <v>3</v>
      </c>
      <c r="C31" s="21"/>
      <c r="D31" s="8"/>
    </row>
    <row r="32" spans="1:4" ht="15.75" x14ac:dyDescent="0.25">
      <c r="A32" s="19">
        <v>0</v>
      </c>
      <c r="B32" s="49">
        <f>A32/(((($B$6-$B$5)-parameters!$B$5*2)/2)/(parameters!$B$2/(24*60*60))/($B$3*$B$4)+parameters!$B$3/(parameters!$B$1/(24*60*60))/($B$8*($B$9+$B$10)*($B$11+parameters!$B$3)*PI()))</f>
        <v>0</v>
      </c>
      <c r="C32" s="55"/>
      <c r="D32" s="8"/>
    </row>
    <row r="33" spans="1:4" ht="15.75" x14ac:dyDescent="0.25">
      <c r="A33" s="19">
        <f>B6-B5+2</f>
        <v>3</v>
      </c>
      <c r="B33" s="49">
        <f>A33/(((($B$6-$B$5)-parameters!$B$5*2)/2)/(parameters!$B$2/(24*60*60))/($B$3*$B$4)+parameters!$B$3/(parameters!$B$1/(24*60*60))/($B$8*($B$9+$B$10)*($B$11+parameters!$B$3)*PI()))</f>
        <v>0.48781701022546359</v>
      </c>
      <c r="C33" s="21"/>
      <c r="D33" s="8"/>
    </row>
    <row r="34" spans="1:4" ht="15" customHeight="1" x14ac:dyDescent="0.25">
      <c r="A34" s="7"/>
      <c r="B34" s="7"/>
      <c r="C34" s="7"/>
      <c r="D34" s="8"/>
    </row>
    <row r="35" spans="1:4" ht="15" customHeight="1" x14ac:dyDescent="0.25">
      <c r="A35" s="2" t="s">
        <v>35</v>
      </c>
      <c r="B35" s="6"/>
      <c r="C35" s="7"/>
      <c r="D35" s="8"/>
    </row>
    <row r="36" spans="1:4" ht="15" customHeight="1" x14ac:dyDescent="0.25">
      <c r="A36" s="1" t="s">
        <v>1</v>
      </c>
      <c r="B36" s="6"/>
      <c r="C36" s="7"/>
      <c r="D36" s="8"/>
    </row>
    <row r="37" spans="1:4" ht="15" customHeight="1" x14ac:dyDescent="0.25">
      <c r="A37" s="19" t="s">
        <v>0</v>
      </c>
      <c r="B37" s="19" t="s">
        <v>3</v>
      </c>
      <c r="C37" s="7"/>
      <c r="D37" s="8"/>
    </row>
    <row r="38" spans="1:4" ht="15" customHeight="1" x14ac:dyDescent="0.25">
      <c r="A38" s="19">
        <f>($B$6-$B$5)*0+$B$5</f>
        <v>10</v>
      </c>
      <c r="B38" s="54">
        <v>0</v>
      </c>
      <c r="C38" s="55"/>
      <c r="D38" s="8"/>
    </row>
    <row r="39" spans="1:4" ht="15" customHeight="1" x14ac:dyDescent="0.25">
      <c r="A39" s="19">
        <f>$B$6-parameters!$B$5</f>
        <v>10.85</v>
      </c>
      <c r="B39" s="54">
        <f>(A39-($B$6-parameters!$B$5))/((($B$6-parameters!$B$5-$B$11)/(parameters!$B$2/(24*60*60))/($B$3*$B$4))+(parameters!$B$3/(parameters!$B$1/(24*60*60))/($B$11*PI()*$B$8*($B$9+$B$10))))</f>
        <v>0</v>
      </c>
      <c r="C39" s="7"/>
      <c r="D39" s="8"/>
    </row>
    <row r="40" spans="1:4" ht="15" customHeight="1" x14ac:dyDescent="0.25">
      <c r="A40" s="19">
        <f>B6+2</f>
        <v>13</v>
      </c>
      <c r="B40" s="56">
        <f>(A40-($B$6-parameters!$B$5))/((($B$6-parameters!$B$5-$B$11)/(parameters!$B$2/(24*60*60))/($B$3*$B$4))+(parameters!$B$3/(parameters!$B$1/(24*60*60))/($B$11*PI()*$B$8*($B$9+$B$10))))</f>
        <v>1.9115007928578811E-2</v>
      </c>
      <c r="C40" s="7"/>
      <c r="D40" s="8"/>
    </row>
    <row r="41" spans="1:4" ht="15" customHeight="1" x14ac:dyDescent="0.25">
      <c r="A41" s="5"/>
      <c r="B41" s="7"/>
      <c r="C41" s="7"/>
      <c r="D41" s="8"/>
    </row>
    <row r="42" spans="1:4" ht="15" customHeight="1" x14ac:dyDescent="0.25">
      <c r="A42" s="2" t="s">
        <v>49</v>
      </c>
      <c r="B42" s="6"/>
      <c r="C42" s="7"/>
      <c r="D42" s="8"/>
    </row>
    <row r="43" spans="1:4" ht="15" customHeight="1" x14ac:dyDescent="0.25">
      <c r="A43" s="1" t="s">
        <v>33</v>
      </c>
      <c r="B43" s="6"/>
      <c r="C43" s="7"/>
      <c r="D43" s="8"/>
    </row>
    <row r="44" spans="1:4" ht="15.75" x14ac:dyDescent="0.25">
      <c r="A44" s="19" t="s">
        <v>34</v>
      </c>
      <c r="B44" s="19" t="s">
        <v>32</v>
      </c>
      <c r="C44" s="7"/>
      <c r="D44" s="8"/>
    </row>
    <row r="45" spans="1:4" ht="15.75" x14ac:dyDescent="0.25">
      <c r="A45" s="19">
        <v>0</v>
      </c>
      <c r="B45" s="57">
        <f>$B$9*(($B$11/2)^2)*PI()*parameters!$B$6*(($B$11/4)^(2/3))*(A45/($B$8/2))^(1/2)</f>
        <v>0</v>
      </c>
      <c r="C45" s="7"/>
      <c r="D45" s="8"/>
    </row>
    <row r="46" spans="1:4" ht="15.75" x14ac:dyDescent="0.25">
      <c r="A46" s="19">
        <v>0.1</v>
      </c>
      <c r="B46" s="57">
        <f>$B$9*(($B$11/2)^2)*PI()*parameters!$B$6*(($B$11/4)^(2/3))*(A46/($B$8/2))^(1/2)</f>
        <v>7.1223965232666553E-2</v>
      </c>
      <c r="C46" s="7"/>
      <c r="D46" s="8"/>
    </row>
    <row r="47" spans="1:4" ht="15.75" x14ac:dyDescent="0.25">
      <c r="A47" s="19">
        <v>0.2</v>
      </c>
      <c r="B47" s="57">
        <f>$B$9*(($B$11/2)^2)*PI()*parameters!$B$6*(($B$11/4)^(2/3))*(A47/($B$8/2))^(1/2)</f>
        <v>0.10072589759802685</v>
      </c>
      <c r="C47" s="7"/>
      <c r="D47" s="8"/>
    </row>
    <row r="48" spans="1:4" ht="15.75" x14ac:dyDescent="0.25">
      <c r="A48" s="19">
        <v>0.5</v>
      </c>
      <c r="B48" s="57">
        <f>$B$9*(($B$11/2)^2)*PI()*parameters!$B$6*(($B$11/4)^(2/3))*(A48/($B$8/2))^(1/2)</f>
        <v>0.15926162788732404</v>
      </c>
      <c r="C48" s="7"/>
      <c r="D48" s="8"/>
    </row>
    <row r="49" spans="1:4" ht="15.75" x14ac:dyDescent="0.25">
      <c r="A49" s="19">
        <v>1</v>
      </c>
      <c r="B49" s="57">
        <f>$B$9*(($B$11/2)^2)*PI()*parameters!$B$6*(($B$11/4)^(2/3))*(A49/($B$8/2))^(1/2)</f>
        <v>0.22522995412387078</v>
      </c>
      <c r="C49" s="7"/>
      <c r="D49" s="8"/>
    </row>
    <row r="50" spans="1:4" ht="15.75" x14ac:dyDescent="0.25">
      <c r="A50" s="19">
        <f>$B$6-$B$5+0.5</f>
        <v>1.5</v>
      </c>
      <c r="B50" s="57">
        <f>$B$9*(($B$11/2)^2)*PI()*parameters!$B$6*(($B$11/4)^(2/3))*(A50/($B$8/2))^(1/2)</f>
        <v>0.27584923119697363</v>
      </c>
      <c r="C50" s="7"/>
      <c r="D50" s="8"/>
    </row>
    <row r="51" spans="1:4" ht="15.75" x14ac:dyDescent="0.25">
      <c r="A51" s="19">
        <f>$B$6-$B$5+1</f>
        <v>2</v>
      </c>
      <c r="B51" s="57">
        <f>$B$9*(($B$11/2)^2)*PI()*parameters!$B$6*(($B$11/4)^(2/3))*(A51/($B$8/2))^(1/2)</f>
        <v>0.31852325577464807</v>
      </c>
      <c r="C51" s="7"/>
      <c r="D51" s="8"/>
    </row>
    <row r="52" spans="1:4" ht="15.75" x14ac:dyDescent="0.25">
      <c r="A52" s="19">
        <f>$B$6-$B$5+2</f>
        <v>3</v>
      </c>
      <c r="B52" s="57">
        <f>$B$9*(($B$11/2)^2)*PI()*parameters!$B$6*(($B$11/4)^(2/3))*(A52/($B$8/2))^(1/2)</f>
        <v>0.3901097239289516</v>
      </c>
      <c r="C52" s="7"/>
      <c r="D52" s="8"/>
    </row>
    <row r="53" spans="1:4" ht="16.5" thickBot="1" x14ac:dyDescent="0.3">
      <c r="A53" s="10"/>
      <c r="B53" s="11"/>
      <c r="C53" s="11"/>
      <c r="D53" s="12"/>
    </row>
    <row r="59" spans="1:4" x14ac:dyDescent="0.25">
      <c r="C59" s="40"/>
    </row>
  </sheetData>
  <sheetProtection algorithmName="SHA-512" hashValue="rZt1kmBnX85Y3Pg/Hi4ZggK4+M1+BRiuT4s7KFdUXl3WWv2+rJNRAFME10XXnhNygkbtI5ZriWDhVkWO8x9ZIA==" saltValue="xXgy3Hi2E5qCGbtMcB/ydg==" spinCount="100000" sheet="1" objects="1" scenarios="1"/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3"/>
  <sheetViews>
    <sheetView zoomScaleNormal="100" workbookViewId="0">
      <selection activeCell="B5" sqref="B5:B6"/>
    </sheetView>
  </sheetViews>
  <sheetFormatPr defaultRowHeight="15" x14ac:dyDescent="0.25"/>
  <cols>
    <col min="1" max="1" width="48.85546875" customWidth="1"/>
    <col min="2" max="3" width="15.7109375" customWidth="1"/>
    <col min="4" max="4" width="10.7109375" customWidth="1"/>
    <col min="5" max="15" width="9.140625" customWidth="1"/>
  </cols>
  <sheetData>
    <row r="1" spans="1:6" ht="15" customHeight="1" x14ac:dyDescent="0.25">
      <c r="A1" s="27"/>
      <c r="B1" s="13"/>
      <c r="C1" s="13"/>
      <c r="D1" s="14"/>
    </row>
    <row r="2" spans="1:6" ht="15" customHeight="1" x14ac:dyDescent="0.3">
      <c r="A2" s="29" t="s">
        <v>9</v>
      </c>
      <c r="B2" s="25" t="s">
        <v>6</v>
      </c>
      <c r="C2" s="15"/>
      <c r="D2" s="16"/>
    </row>
    <row r="3" spans="1:6" ht="15" customHeight="1" x14ac:dyDescent="0.25">
      <c r="A3" s="25" t="s">
        <v>13</v>
      </c>
      <c r="B3" s="59">
        <v>10</v>
      </c>
      <c r="C3" s="15"/>
      <c r="D3" s="16"/>
    </row>
    <row r="4" spans="1:6" ht="15" customHeight="1" x14ac:dyDescent="0.25">
      <c r="A4" s="25" t="s">
        <v>14</v>
      </c>
      <c r="B4" s="59">
        <v>10</v>
      </c>
      <c r="C4" s="15"/>
      <c r="D4" s="16"/>
    </row>
    <row r="5" spans="1:6" ht="15" customHeight="1" x14ac:dyDescent="0.25">
      <c r="A5" s="25" t="s">
        <v>15</v>
      </c>
      <c r="B5" s="61">
        <v>10</v>
      </c>
      <c r="C5" s="15"/>
      <c r="D5" s="16"/>
    </row>
    <row r="6" spans="1:6" ht="15" customHeight="1" x14ac:dyDescent="0.25">
      <c r="A6" s="25" t="s">
        <v>16</v>
      </c>
      <c r="B6" s="61">
        <v>11</v>
      </c>
      <c r="C6" s="15"/>
      <c r="D6" s="16"/>
    </row>
    <row r="7" spans="1:6" ht="15" customHeight="1" x14ac:dyDescent="0.25">
      <c r="A7" s="27"/>
      <c r="B7" s="15"/>
      <c r="C7" s="27"/>
      <c r="D7" s="16"/>
    </row>
    <row r="8" spans="1:6" ht="15" customHeight="1" x14ac:dyDescent="0.3">
      <c r="A8" s="29" t="s">
        <v>11</v>
      </c>
      <c r="B8" s="28" t="s">
        <v>6</v>
      </c>
      <c r="C8" s="15"/>
      <c r="D8" s="16"/>
    </row>
    <row r="9" spans="1:6" ht="15" customHeight="1" x14ac:dyDescent="0.25">
      <c r="A9" s="25" t="s">
        <v>10</v>
      </c>
      <c r="B9" s="62">
        <v>1.0000000000000001E-5</v>
      </c>
      <c r="C9" s="15"/>
      <c r="D9" s="16"/>
    </row>
    <row r="10" spans="1:6" ht="15" customHeight="1" thickBot="1" x14ac:dyDescent="0.3">
      <c r="A10" s="17"/>
      <c r="B10" s="17"/>
      <c r="C10" s="17"/>
      <c r="D10" s="18"/>
    </row>
    <row r="11" spans="1:6" ht="15" customHeight="1" x14ac:dyDescent="0.25">
      <c r="A11" s="7"/>
      <c r="B11" s="7"/>
      <c r="C11" s="7"/>
      <c r="D11" s="4"/>
    </row>
    <row r="12" spans="1:6" ht="15" customHeight="1" x14ac:dyDescent="0.3">
      <c r="A12" s="39" t="s">
        <v>29</v>
      </c>
      <c r="B12" s="21"/>
      <c r="C12" s="7"/>
      <c r="D12" s="9"/>
    </row>
    <row r="13" spans="1:6" ht="15" customHeight="1" x14ac:dyDescent="0.25">
      <c r="A13" s="2" t="s">
        <v>7</v>
      </c>
      <c r="B13" s="6"/>
      <c r="C13" s="6"/>
      <c r="D13" s="9"/>
    </row>
    <row r="14" spans="1:6" ht="15" customHeight="1" x14ac:dyDescent="0.25">
      <c r="A14" s="1" t="s">
        <v>2</v>
      </c>
      <c r="B14" s="6"/>
      <c r="C14" s="6"/>
      <c r="D14" s="9"/>
    </row>
    <row r="15" spans="1:6" ht="15" customHeight="1" x14ac:dyDescent="0.25">
      <c r="A15" s="19" t="s">
        <v>0</v>
      </c>
      <c r="B15" s="36" t="s">
        <v>4</v>
      </c>
      <c r="C15" s="43" t="s">
        <v>5</v>
      </c>
      <c r="D15" s="9"/>
      <c r="F15" s="37"/>
    </row>
    <row r="16" spans="1:6" ht="15" customHeight="1" x14ac:dyDescent="0.25">
      <c r="A16" s="19">
        <f>B5</f>
        <v>10</v>
      </c>
      <c r="B16" s="19">
        <v>0</v>
      </c>
      <c r="C16" s="42">
        <f>$B$3*$B$4</f>
        <v>100</v>
      </c>
      <c r="D16" s="9"/>
      <c r="F16" s="38"/>
    </row>
    <row r="17" spans="1:8" ht="15" customHeight="1" x14ac:dyDescent="0.25">
      <c r="A17" s="19">
        <f>B6</f>
        <v>11</v>
      </c>
      <c r="B17" s="20">
        <f>B4*(B6-B5)</f>
        <v>10</v>
      </c>
      <c r="C17" s="20">
        <f>$B$3*$B$4</f>
        <v>100</v>
      </c>
      <c r="D17" s="9"/>
      <c r="F17" s="38"/>
    </row>
    <row r="18" spans="1:8" ht="15" customHeight="1" x14ac:dyDescent="0.25">
      <c r="A18" s="5"/>
      <c r="B18" s="22"/>
      <c r="C18" s="7"/>
      <c r="D18" s="9"/>
      <c r="F18" s="37"/>
    </row>
    <row r="19" spans="1:8" ht="15" customHeight="1" x14ac:dyDescent="0.25">
      <c r="A19" s="2" t="s">
        <v>12</v>
      </c>
      <c r="B19" s="7"/>
      <c r="C19" s="7"/>
      <c r="D19" s="8"/>
      <c r="F19" s="37"/>
      <c r="G19" t="s">
        <v>21</v>
      </c>
      <c r="H19" t="s">
        <v>22</v>
      </c>
    </row>
    <row r="20" spans="1:8" ht="15" customHeight="1" x14ac:dyDescent="0.25">
      <c r="A20" s="34" t="s">
        <v>23</v>
      </c>
      <c r="B20" s="41" t="s">
        <v>8</v>
      </c>
      <c r="C20" s="7"/>
      <c r="D20" s="8"/>
      <c r="G20">
        <f>B5</f>
        <v>10</v>
      </c>
      <c r="H20" s="37">
        <f>$B$9*($B$3*$B$4+2*(G20-$B$5)*($B$3+$B$4))</f>
        <v>1E-3</v>
      </c>
    </row>
    <row r="21" spans="1:8" ht="15" customHeight="1" x14ac:dyDescent="0.25">
      <c r="A21" s="45" t="s">
        <v>24</v>
      </c>
      <c r="B21" s="31"/>
      <c r="C21" s="7"/>
      <c r="D21" s="8"/>
      <c r="G21" s="40">
        <f>G20+0.1*($B$6-$B$5)</f>
        <v>10.1</v>
      </c>
      <c r="H21" s="37">
        <f t="shared" ref="H21:H30" si="0">$B$9*($B$3*$B$4+2*(G21-$B$5)*($B$3+$B$4))</f>
        <v>1.0399999999999999E-3</v>
      </c>
    </row>
    <row r="22" spans="1:8" ht="15" customHeight="1" x14ac:dyDescent="0.25">
      <c r="A22" s="34" t="s">
        <v>20</v>
      </c>
      <c r="B22" s="33">
        <v>0.95</v>
      </c>
      <c r="C22" s="7"/>
      <c r="D22" s="8"/>
      <c r="G22" s="40">
        <f t="shared" ref="G22:G30" si="1">G21+0.1*($B$6-$B$5)</f>
        <v>10.199999999999999</v>
      </c>
      <c r="H22" s="37">
        <f t="shared" si="0"/>
        <v>1.0799999999999998E-3</v>
      </c>
    </row>
    <row r="23" spans="1:8" ht="15" customHeight="1" x14ac:dyDescent="0.25">
      <c r="A23" s="34" t="s">
        <v>19</v>
      </c>
      <c r="B23" s="30">
        <f>B5+0*(B6-B5)</f>
        <v>10</v>
      </c>
      <c r="C23" s="7"/>
      <c r="D23" s="8"/>
      <c r="G23" s="40">
        <f t="shared" si="1"/>
        <v>10.299999999999999</v>
      </c>
      <c r="H23" s="37">
        <f t="shared" si="0"/>
        <v>1.1199999999999997E-3</v>
      </c>
    </row>
    <row r="24" spans="1:8" ht="15" customHeight="1" x14ac:dyDescent="0.25">
      <c r="A24" s="34" t="s">
        <v>18</v>
      </c>
      <c r="B24" s="32">
        <f>B9</f>
        <v>1.0000000000000001E-5</v>
      </c>
      <c r="C24" s="7"/>
      <c r="D24" s="8"/>
      <c r="G24" s="40">
        <f t="shared" si="1"/>
        <v>10.399999999999999</v>
      </c>
      <c r="H24" s="37">
        <f t="shared" si="0"/>
        <v>1.1599999999999996E-3</v>
      </c>
    </row>
    <row r="25" spans="1:8" ht="15" customHeight="1" x14ac:dyDescent="0.25">
      <c r="A25" s="35" t="s">
        <v>17</v>
      </c>
      <c r="B25" s="32">
        <f>B9</f>
        <v>1.0000000000000001E-5</v>
      </c>
      <c r="C25" s="7"/>
      <c r="D25" s="8"/>
      <c r="G25" s="40">
        <f t="shared" si="1"/>
        <v>10.499999999999998</v>
      </c>
      <c r="H25" s="37">
        <f t="shared" si="0"/>
        <v>1.1999999999999995E-3</v>
      </c>
    </row>
    <row r="26" spans="1:8" ht="15" customHeight="1" x14ac:dyDescent="0.25">
      <c r="A26" s="7"/>
      <c r="B26" s="7"/>
      <c r="C26" s="7"/>
      <c r="D26" s="8"/>
      <c r="G26" s="40">
        <f t="shared" si="1"/>
        <v>10.599999999999998</v>
      </c>
      <c r="H26" s="37">
        <f t="shared" si="0"/>
        <v>1.2399999999999993E-3</v>
      </c>
    </row>
    <row r="27" spans="1:8" ht="15" customHeight="1" x14ac:dyDescent="0.25">
      <c r="A27" s="7"/>
      <c r="B27" s="7"/>
      <c r="C27" s="7"/>
      <c r="D27" s="8"/>
      <c r="G27" s="40">
        <f t="shared" si="1"/>
        <v>10.699999999999998</v>
      </c>
      <c r="H27" s="37">
        <f t="shared" si="0"/>
        <v>1.279999999999999E-3</v>
      </c>
    </row>
    <row r="28" spans="1:8" ht="15" customHeight="1" x14ac:dyDescent="0.25">
      <c r="A28" s="7"/>
      <c r="B28" s="7"/>
      <c r="C28" s="7"/>
      <c r="D28" s="8"/>
      <c r="G28" s="40">
        <f t="shared" si="1"/>
        <v>10.799999999999997</v>
      </c>
      <c r="H28" s="37">
        <f t="shared" si="0"/>
        <v>1.3199999999999989E-3</v>
      </c>
    </row>
    <row r="29" spans="1:8" ht="15" customHeight="1" x14ac:dyDescent="0.25">
      <c r="A29" s="7"/>
      <c r="B29" s="7"/>
      <c r="C29" s="7"/>
      <c r="D29" s="8"/>
      <c r="G29" s="40">
        <f t="shared" si="1"/>
        <v>10.899999999999997</v>
      </c>
      <c r="H29" s="37">
        <f t="shared" si="0"/>
        <v>1.359999999999999E-3</v>
      </c>
    </row>
    <row r="30" spans="1:8" ht="15" customHeight="1" x14ac:dyDescent="0.25">
      <c r="A30" s="7"/>
      <c r="B30" s="7"/>
      <c r="C30" s="7"/>
      <c r="D30" s="8"/>
      <c r="G30" s="40">
        <f t="shared" si="1"/>
        <v>10.999999999999996</v>
      </c>
      <c r="H30" s="37">
        <f t="shared" si="0"/>
        <v>1.3999999999999987E-3</v>
      </c>
    </row>
    <row r="31" spans="1:8" ht="15" customHeight="1" x14ac:dyDescent="0.25">
      <c r="A31" s="7"/>
      <c r="B31" s="7"/>
      <c r="C31" s="7"/>
      <c r="D31" s="8"/>
    </row>
    <row r="32" spans="1:8" ht="15" customHeight="1" x14ac:dyDescent="0.25">
      <c r="A32" s="7"/>
      <c r="B32" s="7"/>
      <c r="C32" s="7"/>
      <c r="D32" s="8"/>
    </row>
    <row r="33" spans="1:4" ht="15" customHeight="1" thickBot="1" x14ac:dyDescent="0.3">
      <c r="A33" s="23"/>
      <c r="B33" s="24"/>
      <c r="C33" s="24"/>
      <c r="D33" s="12"/>
    </row>
  </sheetData>
  <sheetProtection algorithmName="SHA-512" hashValue="tH3043mTNkcnK1qv8FJ8xr07Ok5mZzWjZFwlBXr5CNcC1C6YaDZoTDybPy/GO4qmnA5kpxtRNkfr+F9Xi1rIvQ==" saltValue="9P4z5okSIPvOlXKNryQ5hQ==" spinCount="100000" sheet="1" objects="1" scenarios="1"/>
  <phoneticPr fontId="11" type="noConversion"/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76F579-282D-481F-B879-06225A38B583}">
  <dimension ref="A1:D6"/>
  <sheetViews>
    <sheetView workbookViewId="0">
      <selection activeCell="A10" sqref="A10"/>
    </sheetView>
  </sheetViews>
  <sheetFormatPr defaultRowHeight="15" x14ac:dyDescent="0.25"/>
  <cols>
    <col min="1" max="1" width="62.42578125" bestFit="1" customWidth="1"/>
  </cols>
  <sheetData>
    <row r="1" spans="1:4" x14ac:dyDescent="0.25">
      <c r="A1" t="s">
        <v>42</v>
      </c>
      <c r="B1">
        <v>21.5</v>
      </c>
      <c r="C1" t="s">
        <v>38</v>
      </c>
    </row>
    <row r="2" spans="1:4" x14ac:dyDescent="0.25">
      <c r="A2" t="s">
        <v>43</v>
      </c>
      <c r="B2">
        <v>86</v>
      </c>
      <c r="C2" t="s">
        <v>38</v>
      </c>
    </row>
    <row r="3" spans="1:4" x14ac:dyDescent="0.25">
      <c r="A3" t="s">
        <v>44</v>
      </c>
      <c r="B3">
        <v>7.0000000000000007E-2</v>
      </c>
      <c r="C3" t="s">
        <v>39</v>
      </c>
    </row>
    <row r="4" spans="1:4" x14ac:dyDescent="0.25">
      <c r="A4" t="s">
        <v>45</v>
      </c>
      <c r="B4">
        <v>2.4</v>
      </c>
      <c r="C4" t="s">
        <v>41</v>
      </c>
    </row>
    <row r="5" spans="1:4" x14ac:dyDescent="0.25">
      <c r="A5" s="50" t="s">
        <v>50</v>
      </c>
      <c r="B5">
        <v>0.15</v>
      </c>
      <c r="C5" t="s">
        <v>51</v>
      </c>
    </row>
    <row r="6" spans="1:4" x14ac:dyDescent="0.25">
      <c r="A6" t="s">
        <v>56</v>
      </c>
      <c r="B6">
        <v>75</v>
      </c>
      <c r="C6" t="s">
        <v>57</v>
      </c>
      <c r="D6" s="58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Dischar to sewer, inlet in top </vt:lpstr>
      <vt:lpstr>Dischar to sewer, inlet in bot</vt:lpstr>
      <vt:lpstr>Infiltration</vt:lpstr>
      <vt:lpstr>parameters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Louise Toft Søndergaard Jensen</dc:creator>
  <cp:lastModifiedBy>Louise Toft Søndergaard Jensen</cp:lastModifiedBy>
  <dcterms:created xsi:type="dcterms:W3CDTF">2015-06-05T18:19:34Z</dcterms:created>
  <dcterms:modified xsi:type="dcterms:W3CDTF">2023-01-19T06:59:11Z</dcterms:modified>
</cp:coreProperties>
</file>